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colasse\Desktop\"/>
    </mc:Choice>
  </mc:AlternateContent>
  <xr:revisionPtr revIDLastSave="0" documentId="13_ncr:1_{61B2CCD9-B27A-479D-8CC0-EF93F2A98468}" xr6:coauthVersionLast="47" xr6:coauthVersionMax="47" xr10:uidLastSave="{00000000-0000-0000-0000-000000000000}"/>
  <bookViews>
    <workbookView xWindow="-120" yWindow="-120" windowWidth="29040" windowHeight="15840" activeTab="1" xr2:uid="{98BBBEAA-8385-4F3E-8682-4D9D2319B198}"/>
  </bookViews>
  <sheets>
    <sheet name="Titre" sheetId="7" r:id="rId1"/>
    <sheet name="Tableaux de bord" sheetId="6" r:id="rId2"/>
    <sheet name="DonnéesDEF" sheetId="5" state="hidden" r:id="rId3"/>
  </sheets>
  <definedNames>
    <definedName name="Print_Area" localSheetId="0">Titre!$B$1:$H$45</definedName>
    <definedName name="_xlnm.Print_Area" localSheetId="1">'Tableaux de bord'!$A:$R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5" i="6" l="1"/>
  <c r="E354" i="6" l="1"/>
  <c r="E356" i="6"/>
  <c r="Q395" i="6"/>
  <c r="I355" i="6"/>
  <c r="K355" i="6"/>
  <c r="G355" i="6"/>
  <c r="Q397" i="6" l="1"/>
  <c r="Q391" i="6"/>
  <c r="Q385" i="6"/>
  <c r="Q389" i="6"/>
  <c r="Q399" i="6"/>
  <c r="Q393" i="6"/>
  <c r="Q401" i="6"/>
  <c r="Q387" i="6"/>
  <c r="H403" i="6"/>
  <c r="H401" i="6"/>
  <c r="H399" i="6"/>
  <c r="H393" i="6"/>
  <c r="H397" i="6"/>
  <c r="H387" i="6"/>
  <c r="H389" i="6"/>
  <c r="H391" i="6"/>
  <c r="H395" i="6"/>
  <c r="H385" i="6"/>
  <c r="CN107" i="5" l="1"/>
  <c r="CL107" i="5"/>
  <c r="CK107" i="5"/>
  <c r="CM107" i="5"/>
  <c r="CO107" i="5"/>
  <c r="CP107" i="5"/>
  <c r="D135" i="6" l="1"/>
  <c r="E135" i="6"/>
  <c r="F135" i="6"/>
  <c r="G135" i="6"/>
  <c r="H135" i="6"/>
  <c r="I135" i="6"/>
  <c r="N126" i="6"/>
  <c r="O126" i="6"/>
  <c r="P126" i="6"/>
  <c r="F75" i="6" l="1"/>
  <c r="D73" i="6"/>
  <c r="D71" i="6"/>
  <c r="E73" i="6"/>
  <c r="F73" i="6"/>
  <c r="E71" i="6"/>
  <c r="F71" i="6"/>
  <c r="E75" i="6"/>
  <c r="D75" i="6"/>
  <c r="E77" i="6"/>
  <c r="F77" i="6"/>
  <c r="D77" i="6"/>
  <c r="N224" i="6" l="1"/>
  <c r="K224" i="6"/>
  <c r="K342" i="6" l="1"/>
  <c r="K341" i="6"/>
  <c r="K379" i="6"/>
  <c r="K378" i="6"/>
  <c r="K377" i="6"/>
  <c r="K376" i="6"/>
  <c r="K375" i="6"/>
  <c r="K374" i="6"/>
  <c r="K373" i="6"/>
  <c r="K372" i="6"/>
  <c r="K371" i="6"/>
  <c r="K370" i="6"/>
  <c r="K369" i="6"/>
  <c r="K368" i="6"/>
  <c r="K367" i="6"/>
  <c r="K366" i="6"/>
  <c r="K365" i="6"/>
  <c r="K364" i="6"/>
  <c r="K363" i="6"/>
  <c r="K362" i="6"/>
  <c r="K361" i="6"/>
  <c r="K360" i="6"/>
  <c r="K359" i="6"/>
  <c r="K358" i="6"/>
  <c r="K357" i="6"/>
  <c r="K356" i="6"/>
  <c r="K354" i="6"/>
  <c r="K353" i="6"/>
  <c r="K352" i="6"/>
  <c r="K351" i="6"/>
  <c r="K350" i="6"/>
  <c r="K349" i="6"/>
  <c r="K348" i="6"/>
  <c r="K347" i="6"/>
  <c r="K346" i="6"/>
  <c r="K345" i="6"/>
  <c r="K344" i="6"/>
  <c r="K343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E379" i="6"/>
  <c r="E378" i="6"/>
  <c r="E377" i="6"/>
  <c r="E376" i="6"/>
  <c r="G379" i="6"/>
  <c r="G378" i="6"/>
  <c r="G377" i="6"/>
  <c r="G376" i="6"/>
  <c r="G375" i="6"/>
  <c r="G374" i="6"/>
  <c r="G373" i="6"/>
  <c r="G372" i="6"/>
  <c r="G371" i="6"/>
  <c r="G370" i="6"/>
  <c r="G369" i="6"/>
  <c r="G368" i="6"/>
  <c r="G367" i="6"/>
  <c r="G366" i="6"/>
  <c r="G365" i="6"/>
  <c r="G364" i="6"/>
  <c r="G363" i="6"/>
  <c r="G362" i="6"/>
  <c r="G361" i="6"/>
  <c r="G360" i="6"/>
  <c r="G359" i="6"/>
  <c r="G358" i="6"/>
  <c r="G357" i="6"/>
  <c r="G356" i="6"/>
  <c r="G354" i="6"/>
  <c r="G353" i="6"/>
  <c r="G352" i="6"/>
  <c r="G351" i="6"/>
  <c r="G350" i="6"/>
  <c r="G349" i="6"/>
  <c r="G348" i="6"/>
  <c r="G347" i="6"/>
  <c r="G346" i="6"/>
  <c r="G345" i="6"/>
  <c r="G344" i="6"/>
  <c r="G343" i="6"/>
  <c r="G342" i="6"/>
  <c r="G341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I335" i="6" l="1"/>
  <c r="E335" i="6"/>
  <c r="JV105" i="5" l="1"/>
  <c r="JW105" i="5"/>
  <c r="JX105" i="5"/>
  <c r="JO105" i="5"/>
  <c r="JM105" i="5"/>
  <c r="JN105" i="5"/>
  <c r="JP105" i="5"/>
  <c r="JQ105" i="5"/>
  <c r="JR105" i="5"/>
  <c r="JT105" i="5"/>
  <c r="JU105" i="5"/>
  <c r="JS105" i="5"/>
  <c r="JJ105" i="5" l="1"/>
  <c r="JK105" i="5" l="1"/>
  <c r="JL105" i="5" l="1"/>
  <c r="D309" i="6" l="1"/>
  <c r="JG106" i="5"/>
  <c r="JE106" i="5"/>
  <c r="JE105" i="5"/>
  <c r="JD105" i="5"/>
  <c r="D307" i="6"/>
  <c r="D306" i="6"/>
  <c r="C307" i="6"/>
  <c r="C306" i="6"/>
  <c r="B307" i="6"/>
  <c r="B306" i="6"/>
  <c r="D288" i="6"/>
  <c r="JE107" i="5" l="1"/>
  <c r="B309" i="6" s="1"/>
  <c r="C308" i="6"/>
  <c r="B308" i="6"/>
  <c r="JG105" i="5"/>
  <c r="JF105" i="5"/>
  <c r="JG107" i="5" l="1"/>
  <c r="C309" i="6" s="1"/>
  <c r="D308" i="6"/>
  <c r="K199" i="6"/>
  <c r="J199" i="6"/>
  <c r="I199" i="6"/>
  <c r="E95" i="6" l="1"/>
  <c r="D95" i="6"/>
  <c r="C95" i="6"/>
  <c r="IZ105" i="5"/>
  <c r="IY105" i="5"/>
  <c r="IX105" i="5"/>
  <c r="C96" i="6" l="1"/>
  <c r="E96" i="6"/>
  <c r="D96" i="6"/>
  <c r="D287" i="6"/>
  <c r="D286" i="6"/>
  <c r="D285" i="6"/>
  <c r="D284" i="6"/>
  <c r="D283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82" i="6"/>
  <c r="D260" i="6"/>
  <c r="D259" i="6"/>
  <c r="D258" i="6"/>
  <c r="D254" i="6"/>
  <c r="D255" i="6"/>
  <c r="D253" i="6"/>
  <c r="D252" i="6"/>
  <c r="D251" i="6"/>
  <c r="D232" i="6"/>
  <c r="D248" i="6"/>
  <c r="D238" i="6"/>
  <c r="D241" i="6"/>
  <c r="D242" i="6"/>
  <c r="D240" i="6"/>
  <c r="D239" i="6"/>
  <c r="D247" i="6"/>
  <c r="D246" i="6"/>
  <c r="D244" i="6"/>
  <c r="D243" i="6"/>
  <c r="D245" i="6"/>
  <c r="D237" i="6"/>
  <c r="D236" i="6"/>
  <c r="D235" i="6"/>
  <c r="D231" i="6"/>
  <c r="D230" i="6"/>
  <c r="D229" i="6"/>
  <c r="C288" i="6"/>
  <c r="C287" i="6"/>
  <c r="C286" i="6"/>
  <c r="C285" i="6"/>
  <c r="C284" i="6"/>
  <c r="C283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82" i="6"/>
  <c r="C260" i="6"/>
  <c r="C259" i="6"/>
  <c r="C258" i="6"/>
  <c r="C254" i="6"/>
  <c r="C255" i="6"/>
  <c r="C253" i="6"/>
  <c r="C252" i="6"/>
  <c r="C251" i="6"/>
  <c r="C232" i="6"/>
  <c r="C248" i="6"/>
  <c r="C238" i="6"/>
  <c r="C241" i="6"/>
  <c r="C242" i="6"/>
  <c r="C240" i="6"/>
  <c r="C239" i="6"/>
  <c r="C247" i="6"/>
  <c r="C246" i="6"/>
  <c r="C244" i="6"/>
  <c r="C243" i="6"/>
  <c r="C245" i="6"/>
  <c r="C237" i="6"/>
  <c r="C236" i="6"/>
  <c r="C235" i="6"/>
  <c r="C231" i="6"/>
  <c r="C230" i="6"/>
  <c r="C229" i="6"/>
  <c r="B288" i="6"/>
  <c r="B287" i="6"/>
  <c r="B286" i="6"/>
  <c r="B285" i="6"/>
  <c r="B284" i="6"/>
  <c r="B283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82" i="6"/>
  <c r="B260" i="6"/>
  <c r="B259" i="6"/>
  <c r="B258" i="6"/>
  <c r="B254" i="6"/>
  <c r="B255" i="6"/>
  <c r="B253" i="6"/>
  <c r="B252" i="6"/>
  <c r="B251" i="6"/>
  <c r="B232" i="6"/>
  <c r="B248" i="6"/>
  <c r="B238" i="6"/>
  <c r="B241" i="6"/>
  <c r="B242" i="6"/>
  <c r="B240" i="6"/>
  <c r="B239" i="6"/>
  <c r="B247" i="6"/>
  <c r="B246" i="6"/>
  <c r="B244" i="6"/>
  <c r="B243" i="6"/>
  <c r="B245" i="6"/>
  <c r="B237" i="6"/>
  <c r="B236" i="6"/>
  <c r="B235" i="6"/>
  <c r="B231" i="6"/>
  <c r="B230" i="6"/>
  <c r="B229" i="6"/>
  <c r="D6" i="6"/>
  <c r="IW105" i="5" l="1"/>
  <c r="IV105" i="5"/>
  <c r="IU105" i="5"/>
  <c r="IT105" i="5"/>
  <c r="IS105" i="5"/>
  <c r="IR105" i="5"/>
  <c r="IQ105" i="5"/>
  <c r="IP105" i="5"/>
  <c r="IO105" i="5"/>
  <c r="IN105" i="5"/>
  <c r="IM105" i="5"/>
  <c r="IL105" i="5"/>
  <c r="IK105" i="5"/>
  <c r="IJ105" i="5"/>
  <c r="II105" i="5"/>
  <c r="IH105" i="5"/>
  <c r="IG105" i="5"/>
  <c r="IF105" i="5"/>
  <c r="IE105" i="5"/>
  <c r="ID105" i="5"/>
  <c r="IC105" i="5"/>
  <c r="IB105" i="5"/>
  <c r="IA105" i="5"/>
  <c r="HZ105" i="5"/>
  <c r="HY105" i="5"/>
  <c r="HX105" i="5"/>
  <c r="HW105" i="5"/>
  <c r="HV105" i="5"/>
  <c r="HU105" i="5"/>
  <c r="HT105" i="5"/>
  <c r="HS105" i="5"/>
  <c r="HR105" i="5"/>
  <c r="HQ105" i="5"/>
  <c r="HP105" i="5"/>
  <c r="HO105" i="5"/>
  <c r="HN105" i="5"/>
  <c r="HM105" i="5"/>
  <c r="HL105" i="5"/>
  <c r="HK105" i="5"/>
  <c r="HJ105" i="5"/>
  <c r="HI105" i="5"/>
  <c r="HH105" i="5"/>
  <c r="HG105" i="5"/>
  <c r="HF105" i="5"/>
  <c r="HE105" i="5"/>
  <c r="HD105" i="5"/>
  <c r="HC105" i="5"/>
  <c r="HB105" i="5"/>
  <c r="HA105" i="5"/>
  <c r="GZ105" i="5"/>
  <c r="GY105" i="5"/>
  <c r="GX105" i="5"/>
  <c r="GW105" i="5"/>
  <c r="GV105" i="5"/>
  <c r="GU105" i="5"/>
  <c r="GT105" i="5"/>
  <c r="GS105" i="5"/>
  <c r="GR105" i="5"/>
  <c r="GQ105" i="5"/>
  <c r="GP105" i="5"/>
  <c r="GO105" i="5"/>
  <c r="GN105" i="5"/>
  <c r="GM105" i="5"/>
  <c r="GL105" i="5"/>
  <c r="GK105" i="5"/>
  <c r="GJ105" i="5"/>
  <c r="GI105" i="5"/>
  <c r="GH105" i="5"/>
  <c r="GG105" i="5"/>
  <c r="GF105" i="5"/>
  <c r="GE105" i="5"/>
  <c r="GD105" i="5"/>
  <c r="GC105" i="5"/>
  <c r="GB105" i="5"/>
  <c r="GA105" i="5"/>
  <c r="FZ105" i="5"/>
  <c r="FY105" i="5"/>
  <c r="FX105" i="5"/>
  <c r="FW105" i="5"/>
  <c r="FV105" i="5"/>
  <c r="FU105" i="5"/>
  <c r="FT105" i="5"/>
  <c r="FS105" i="5"/>
  <c r="FR105" i="5"/>
  <c r="FQ105" i="5"/>
  <c r="FP105" i="5"/>
  <c r="FO105" i="5"/>
  <c r="FN105" i="5"/>
  <c r="FM105" i="5"/>
  <c r="FL105" i="5"/>
  <c r="FK105" i="5"/>
  <c r="FJ105" i="5"/>
  <c r="FI105" i="5"/>
  <c r="FH105" i="5"/>
  <c r="FG105" i="5"/>
  <c r="FF105" i="5"/>
  <c r="FE105" i="5"/>
  <c r="FD105" i="5"/>
  <c r="FC105" i="5"/>
  <c r="FB105" i="5"/>
  <c r="FA105" i="5"/>
  <c r="EZ105" i="5"/>
  <c r="EY105" i="5"/>
  <c r="EX105" i="5"/>
  <c r="EW105" i="5"/>
  <c r="EV105" i="5"/>
  <c r="EU105" i="5"/>
  <c r="ET105" i="5"/>
  <c r="ES105" i="5"/>
  <c r="CL105" i="5" l="1"/>
  <c r="CM105" i="5"/>
  <c r="CN105" i="5"/>
  <c r="CO105" i="5"/>
  <c r="CP105" i="5"/>
  <c r="CK105" i="5"/>
  <c r="F74" i="6"/>
  <c r="E74" i="6"/>
  <c r="D74" i="6"/>
  <c r="D70" i="6"/>
  <c r="F76" i="6"/>
  <c r="E76" i="6"/>
  <c r="D76" i="6"/>
  <c r="H21" i="6" l="1"/>
  <c r="G21" i="6"/>
  <c r="F21" i="6"/>
  <c r="E21" i="6"/>
  <c r="D21" i="6"/>
  <c r="H20" i="6"/>
  <c r="G20" i="6"/>
  <c r="F20" i="6"/>
  <c r="E20" i="6"/>
  <c r="D20" i="6"/>
  <c r="H14" i="6"/>
  <c r="G14" i="6"/>
  <c r="F14" i="6"/>
  <c r="E14" i="6"/>
  <c r="D14" i="6"/>
  <c r="D15" i="6"/>
  <c r="E15" i="6"/>
  <c r="BR105" i="5"/>
  <c r="CA105" i="5"/>
  <c r="CB105" i="5"/>
  <c r="BQ105" i="5"/>
  <c r="BV105" i="5"/>
  <c r="BW105" i="5"/>
  <c r="E17" i="6" l="1"/>
  <c r="D17" i="6"/>
  <c r="D22" i="6"/>
  <c r="D16" i="6"/>
  <c r="E16" i="6"/>
  <c r="E22" i="6"/>
  <c r="D7" i="6" l="1"/>
  <c r="BT105" i="5"/>
  <c r="BU105" i="5"/>
  <c r="BX105" i="5"/>
  <c r="BY105" i="5"/>
  <c r="BZ105" i="5"/>
  <c r="CC105" i="5"/>
  <c r="CD105" i="5"/>
  <c r="CE105" i="5"/>
  <c r="CF105" i="5"/>
  <c r="D23" i="6" s="1"/>
  <c r="CG105" i="5"/>
  <c r="E23" i="6" s="1"/>
  <c r="CH105" i="5"/>
  <c r="CI105" i="5"/>
  <c r="G23" i="6" s="1"/>
  <c r="CJ105" i="5"/>
  <c r="BS105" i="5"/>
  <c r="H15" i="6"/>
  <c r="H16" i="6" s="1"/>
  <c r="G15" i="6"/>
  <c r="F15" i="6"/>
  <c r="F23" i="6" l="1"/>
  <c r="H17" i="6"/>
  <c r="G17" i="6"/>
  <c r="H23" i="6"/>
  <c r="F17" i="6"/>
  <c r="G16" i="6"/>
  <c r="H22" i="6"/>
  <c r="F22" i="6"/>
  <c r="G22" i="6"/>
  <c r="F16" i="6"/>
  <c r="I224" i="6" l="1"/>
  <c r="H224" i="6"/>
  <c r="G224" i="6"/>
  <c r="E224" i="6"/>
  <c r="D224" i="6"/>
  <c r="C224" i="6"/>
  <c r="B224" i="6"/>
  <c r="D160" i="6"/>
  <c r="C160" i="6"/>
  <c r="B160" i="6"/>
  <c r="D159" i="6"/>
  <c r="C159" i="6"/>
  <c r="B159" i="6"/>
  <c r="D158" i="6"/>
  <c r="C158" i="6"/>
  <c r="B158" i="6"/>
  <c r="D144" i="6"/>
  <c r="C144" i="6"/>
  <c r="B144" i="6"/>
  <c r="D143" i="6"/>
  <c r="C143" i="6"/>
  <c r="B143" i="6"/>
  <c r="D142" i="6"/>
  <c r="C142" i="6"/>
  <c r="B142" i="6"/>
  <c r="N135" i="6"/>
  <c r="H126" i="6"/>
  <c r="F126" i="6"/>
  <c r="D126" i="6"/>
  <c r="F72" i="6"/>
  <c r="E72" i="6"/>
  <c r="D72" i="6"/>
  <c r="F70" i="6"/>
  <c r="E70" i="6"/>
  <c r="H9" i="6"/>
  <c r="G9" i="6"/>
  <c r="F9" i="6"/>
  <c r="E9" i="6"/>
  <c r="D9" i="6"/>
  <c r="H8" i="6"/>
  <c r="G8" i="6"/>
  <c r="F8" i="6"/>
  <c r="E8" i="6"/>
  <c r="D8" i="6"/>
  <c r="H7" i="6"/>
  <c r="G7" i="6"/>
  <c r="F7" i="6"/>
  <c r="E7" i="6"/>
  <c r="H6" i="6"/>
  <c r="G6" i="6"/>
  <c r="F6" i="6"/>
  <c r="E6" i="6"/>
  <c r="D156" i="6" l="1"/>
  <c r="B157" i="6"/>
  <c r="D161" i="6"/>
  <c r="C157" i="6"/>
  <c r="C156" i="6"/>
  <c r="B161" i="6"/>
  <c r="D163" i="6"/>
  <c r="C162" i="6"/>
  <c r="D162" i="6"/>
  <c r="C163" i="6"/>
  <c r="D157" i="6"/>
  <c r="B162" i="6"/>
  <c r="B156" i="6"/>
  <c r="B163" i="6"/>
  <c r="C161" i="6"/>
  <c r="Z105" i="5" l="1"/>
  <c r="AA105" i="5"/>
  <c r="AB105" i="5"/>
  <c r="AC105" i="5"/>
  <c r="AD105" i="5"/>
  <c r="Y105" i="5"/>
  <c r="K105" i="5" l="1"/>
  <c r="L105" i="5"/>
  <c r="M105" i="5"/>
  <c r="N105" i="5"/>
  <c r="J105" i="5"/>
  <c r="U105" i="5"/>
  <c r="V105" i="5"/>
  <c r="W105" i="5"/>
  <c r="X105" i="5"/>
  <c r="T105" i="5"/>
  <c r="P105" i="5"/>
  <c r="Q105" i="5"/>
  <c r="R105" i="5"/>
  <c r="S105" i="5"/>
  <c r="O105" i="5"/>
  <c r="F105" i="5"/>
  <c r="G105" i="5"/>
  <c r="H105" i="5"/>
  <c r="I105" i="5"/>
  <c r="E10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Eugenie Colasse</author>
  </authors>
  <commentList>
    <comment ref="C1" authorId="0" shapeId="0" xr:uid="{9C3C9733-0E97-46A5-8086-119B544A8975}">
      <text>
        <r>
          <rPr>
            <sz val="24"/>
            <color indexed="81"/>
            <rFont val="Tahoma"/>
            <family val="2"/>
          </rPr>
          <t xml:space="preserve">UNE SEULE ET UNIQUE manipulation est nécessaire pour utiliser ce tableau : modifier le numéro de comité dans la case rouge par celui souhaité. Vous veillerez à utiliser un numéro de comité à 3 chiffres (001 et non 01, 02A et non 2A mais bien 974 pour 974…).
</t>
        </r>
      </text>
    </comment>
  </commentList>
</comments>
</file>

<file path=xl/sharedStrings.xml><?xml version="1.0" encoding="utf-8"?>
<sst xmlns="http://schemas.openxmlformats.org/spreadsheetml/2006/main" count="13163" uniqueCount="727">
  <si>
    <t>086</t>
  </si>
  <si>
    <t>IMPLANTATION</t>
  </si>
  <si>
    <t>2016-2017</t>
  </si>
  <si>
    <t>2017-2018</t>
  </si>
  <si>
    <t>2018-2019</t>
  </si>
  <si>
    <t>2019-2020</t>
  </si>
  <si>
    <t>Affiliations</t>
  </si>
  <si>
    <t>Tarif de la licence élémentaire</t>
  </si>
  <si>
    <t>Tarif de la licence maternelle</t>
  </si>
  <si>
    <t>RENCONTRES &amp; ACTIVITÉS</t>
  </si>
  <si>
    <t>DEPARTEMENT</t>
  </si>
  <si>
    <t>REGION - N°</t>
  </si>
  <si>
    <t>REGION - NOM</t>
  </si>
  <si>
    <t>ASS-2017</t>
  </si>
  <si>
    <t>ASS-2018</t>
  </si>
  <si>
    <t>ASS-2019</t>
  </si>
  <si>
    <t>ASS-2020</t>
  </si>
  <si>
    <t>ADULTES-2017</t>
  </si>
  <si>
    <t>ADULTES-2018</t>
  </si>
  <si>
    <t>ADULTES-2019</t>
  </si>
  <si>
    <t>ADULTES-2020</t>
  </si>
  <si>
    <t>ENF-MAT-2017</t>
  </si>
  <si>
    <t>ENF-MAT-2018</t>
  </si>
  <si>
    <t>ENF-MAT-2019</t>
  </si>
  <si>
    <t>ENF-MAT-2020</t>
  </si>
  <si>
    <t>ENF-ELE-2017</t>
  </si>
  <si>
    <t>ENF-ELE-2018</t>
  </si>
  <si>
    <t>ENF-ELE-2019</t>
  </si>
  <si>
    <t>ENF-ELE-2020</t>
  </si>
  <si>
    <t>Tarif Elém 2020</t>
  </si>
  <si>
    <t>Tarif Mat 2020</t>
  </si>
  <si>
    <t>001</t>
  </si>
  <si>
    <t>01 - AIN</t>
  </si>
  <si>
    <t>AUVERGNE - RHONE ALPES</t>
  </si>
  <si>
    <t xml:space="preserve"> </t>
  </si>
  <si>
    <t>002</t>
  </si>
  <si>
    <t>02 - AISNE</t>
  </si>
  <si>
    <t>HAUTS DE France</t>
  </si>
  <si>
    <t>003</t>
  </si>
  <si>
    <t>03 - ALLIER</t>
  </si>
  <si>
    <t>004</t>
  </si>
  <si>
    <t>04 - ALPES HAUTE PROVENCE</t>
  </si>
  <si>
    <t>PROVENCE - ALPES - COTE D'AZUR</t>
  </si>
  <si>
    <t>005</t>
  </si>
  <si>
    <t>05 - HAUTES ALPES</t>
  </si>
  <si>
    <t>006</t>
  </si>
  <si>
    <t>06 - ALPES MARITIMES</t>
  </si>
  <si>
    <t>007</t>
  </si>
  <si>
    <t>07 - ARDECHE</t>
  </si>
  <si>
    <t>008</t>
  </si>
  <si>
    <t>08 - ARDENNES</t>
  </si>
  <si>
    <t>GRAND EST</t>
  </si>
  <si>
    <t>009</t>
  </si>
  <si>
    <t>09 - ARIEGE</t>
  </si>
  <si>
    <t>OCCITANIE</t>
  </si>
  <si>
    <t>010</t>
  </si>
  <si>
    <t>10 - AUBE</t>
  </si>
  <si>
    <t>011</t>
  </si>
  <si>
    <t>11 - AUDE</t>
  </si>
  <si>
    <t>012</t>
  </si>
  <si>
    <t>12 - AVEYRON</t>
  </si>
  <si>
    <t>013</t>
  </si>
  <si>
    <t>13 - BOUCHES DU RHÔNE</t>
  </si>
  <si>
    <t>014</t>
  </si>
  <si>
    <t>14 - CALVADOS</t>
  </si>
  <si>
    <t>NORMANDIE</t>
  </si>
  <si>
    <t>015</t>
  </si>
  <si>
    <t>15 - CANTAL</t>
  </si>
  <si>
    <t>016</t>
  </si>
  <si>
    <t>16 - CHARENTE</t>
  </si>
  <si>
    <t>NOUVELLE AQUITAINE</t>
  </si>
  <si>
    <t>017</t>
  </si>
  <si>
    <t>17 - CHARENTE MARITIME</t>
  </si>
  <si>
    <t>018</t>
  </si>
  <si>
    <t>18 - CHER</t>
  </si>
  <si>
    <t>CENTRE - VAL DE LOIRE</t>
  </si>
  <si>
    <t>019</t>
  </si>
  <si>
    <t>19 - CORREZE</t>
  </si>
  <si>
    <t>021</t>
  </si>
  <si>
    <t>21 - CÔTE D'OR</t>
  </si>
  <si>
    <t>BOURGOGNE - FRANCHE COMTE</t>
  </si>
  <si>
    <t>022</t>
  </si>
  <si>
    <t>22 - CÔTE D'ARMOR</t>
  </si>
  <si>
    <t>BRETAGNE</t>
  </si>
  <si>
    <t>023</t>
  </si>
  <si>
    <t>23 - CREUSE</t>
  </si>
  <si>
    <t>024</t>
  </si>
  <si>
    <t>24 - DORDOGNE</t>
  </si>
  <si>
    <t>025</t>
  </si>
  <si>
    <t>25 - DOUBS</t>
  </si>
  <si>
    <t>026</t>
  </si>
  <si>
    <t>26 - DROME</t>
  </si>
  <si>
    <t>027</t>
  </si>
  <si>
    <t>27 - EURE</t>
  </si>
  <si>
    <t>028</t>
  </si>
  <si>
    <t>28 - EURE &amp; LOIR</t>
  </si>
  <si>
    <t>029</t>
  </si>
  <si>
    <t>29 - FINISTERE</t>
  </si>
  <si>
    <t>02A</t>
  </si>
  <si>
    <t>2A - CORSE DU SUD</t>
  </si>
  <si>
    <t>CORSE</t>
  </si>
  <si>
    <t>02B</t>
  </si>
  <si>
    <t>2B - HAUTE CORSE</t>
  </si>
  <si>
    <t>030</t>
  </si>
  <si>
    <t>30 - GARD</t>
  </si>
  <si>
    <t>031</t>
  </si>
  <si>
    <t>31 - HAUTE GARONNE</t>
  </si>
  <si>
    <t>032</t>
  </si>
  <si>
    <t>32 - GERS</t>
  </si>
  <si>
    <t>033</t>
  </si>
  <si>
    <t>33 - GIRONDE</t>
  </si>
  <si>
    <t>034</t>
  </si>
  <si>
    <t>34 - HERAULT</t>
  </si>
  <si>
    <t>035</t>
  </si>
  <si>
    <t>35 - ILLE &amp; VILAINE</t>
  </si>
  <si>
    <t>036</t>
  </si>
  <si>
    <t>36 - INDRE</t>
  </si>
  <si>
    <t>037</t>
  </si>
  <si>
    <t>37 - INDRE &amp; LOIRE</t>
  </si>
  <si>
    <t>038</t>
  </si>
  <si>
    <t>38 - ISERE</t>
  </si>
  <si>
    <t>039</t>
  </si>
  <si>
    <t>39 - JURA</t>
  </si>
  <si>
    <t>040</t>
  </si>
  <si>
    <t>40 - LANDES</t>
  </si>
  <si>
    <t>041</t>
  </si>
  <si>
    <t>41 - LOIR &amp; CHER</t>
  </si>
  <si>
    <t>042</t>
  </si>
  <si>
    <t>42 - LOIRE</t>
  </si>
  <si>
    <t>043</t>
  </si>
  <si>
    <t>43 - HAUTE LOIRE</t>
  </si>
  <si>
    <t>044</t>
  </si>
  <si>
    <t>44 - LOIRE ATLANTIQUE</t>
  </si>
  <si>
    <t>PAYS DE LOIRE</t>
  </si>
  <si>
    <t>045</t>
  </si>
  <si>
    <t>45 - LOIRET</t>
  </si>
  <si>
    <t>046</t>
  </si>
  <si>
    <t>46 - LOT</t>
  </si>
  <si>
    <t>047</t>
  </si>
  <si>
    <t>47 - LOT &amp; GARONNE</t>
  </si>
  <si>
    <t>048</t>
  </si>
  <si>
    <t>48 - LOZERE</t>
  </si>
  <si>
    <t>049</t>
  </si>
  <si>
    <t>49 - MAINE &amp; LOIRE</t>
  </si>
  <si>
    <t>050</t>
  </si>
  <si>
    <t>50 - MANCHE</t>
  </si>
  <si>
    <t>051</t>
  </si>
  <si>
    <t>51 - MARNE</t>
  </si>
  <si>
    <t>052</t>
  </si>
  <si>
    <t>52 - HAUTE MARNE</t>
  </si>
  <si>
    <t>053</t>
  </si>
  <si>
    <t>53 - MAYENNE</t>
  </si>
  <si>
    <t>054</t>
  </si>
  <si>
    <t>54 - MEURTHE &amp; MOSELLE</t>
  </si>
  <si>
    <t>055</t>
  </si>
  <si>
    <t>55 - MEUSE</t>
  </si>
  <si>
    <t>056</t>
  </si>
  <si>
    <t>56 - MORBIHAN</t>
  </si>
  <si>
    <t>057</t>
  </si>
  <si>
    <t>57 - MOSELLE</t>
  </si>
  <si>
    <t>058</t>
  </si>
  <si>
    <t>58 - NIEVRE</t>
  </si>
  <si>
    <t>059</t>
  </si>
  <si>
    <t>59 - NORD</t>
  </si>
  <si>
    <t>060</t>
  </si>
  <si>
    <t>60 - OISE</t>
  </si>
  <si>
    <t>061</t>
  </si>
  <si>
    <t>61 - ORNE</t>
  </si>
  <si>
    <t>062</t>
  </si>
  <si>
    <t>62 - PAS DE CALAIS</t>
  </si>
  <si>
    <t>063</t>
  </si>
  <si>
    <t>63 - PUY DE DÔME</t>
  </si>
  <si>
    <t>064</t>
  </si>
  <si>
    <t>64 - PYRENEES ATLANTIQUES</t>
  </si>
  <si>
    <t>065</t>
  </si>
  <si>
    <t>65 - HAUTES PYRENEES</t>
  </si>
  <si>
    <t>066</t>
  </si>
  <si>
    <t>66 - PYRENEES ORIENTALES</t>
  </si>
  <si>
    <t>067</t>
  </si>
  <si>
    <t>67 - BAS RHIN</t>
  </si>
  <si>
    <t>068</t>
  </si>
  <si>
    <t>68 - HAUT RHIN</t>
  </si>
  <si>
    <t>069</t>
  </si>
  <si>
    <t>69 - RHÔNE</t>
  </si>
  <si>
    <t>070</t>
  </si>
  <si>
    <t>70 - HAUTE SAÔNE</t>
  </si>
  <si>
    <t>071</t>
  </si>
  <si>
    <t>71 - SAÔNE &amp; LOIRE</t>
  </si>
  <si>
    <t>072</t>
  </si>
  <si>
    <t>72 - SARTHE</t>
  </si>
  <si>
    <t>073</t>
  </si>
  <si>
    <t>73 - SAVOIE</t>
  </si>
  <si>
    <t>074</t>
  </si>
  <si>
    <t>74 - HAUTE SAVOIE</t>
  </si>
  <si>
    <t>075</t>
  </si>
  <si>
    <t>75 - PARIS</t>
  </si>
  <si>
    <t>ILE DE France</t>
  </si>
  <si>
    <t>076</t>
  </si>
  <si>
    <t>76 - SEINE MARITIME</t>
  </si>
  <si>
    <t>077</t>
  </si>
  <si>
    <t>77 - SEINE &amp; MARNE</t>
  </si>
  <si>
    <t>078</t>
  </si>
  <si>
    <t>78 - YVELINES</t>
  </si>
  <si>
    <t>079</t>
  </si>
  <si>
    <t>080</t>
  </si>
  <si>
    <t>80 - SOMME</t>
  </si>
  <si>
    <t>081</t>
  </si>
  <si>
    <t>81 - TARN</t>
  </si>
  <si>
    <t>082</t>
  </si>
  <si>
    <t>82 - TARN &amp; GARONNE</t>
  </si>
  <si>
    <t>083</t>
  </si>
  <si>
    <t>83 - VAR</t>
  </si>
  <si>
    <t>084</t>
  </si>
  <si>
    <t>84 - VAUCLUSE</t>
  </si>
  <si>
    <t>085</t>
  </si>
  <si>
    <t>85 - VENDEE</t>
  </si>
  <si>
    <t>86 - VIENNE</t>
  </si>
  <si>
    <t>087</t>
  </si>
  <si>
    <t>87 - HAUTE VIENNE</t>
  </si>
  <si>
    <t>088</t>
  </si>
  <si>
    <t>88 - VOSGES</t>
  </si>
  <si>
    <t>089</t>
  </si>
  <si>
    <t>89 - YONNE</t>
  </si>
  <si>
    <t>090</t>
  </si>
  <si>
    <t>90 - TERRITOIRE DE BELFORT</t>
  </si>
  <si>
    <t>091</t>
  </si>
  <si>
    <t>91 - ESSONNE</t>
  </si>
  <si>
    <t>092</t>
  </si>
  <si>
    <t>92 - HAUTS DE SEINE</t>
  </si>
  <si>
    <t>093</t>
  </si>
  <si>
    <t>93 - SEINE SAINT DENIS</t>
  </si>
  <si>
    <t>094</t>
  </si>
  <si>
    <t>94 - VAL DE MARNE</t>
  </si>
  <si>
    <t>095</t>
  </si>
  <si>
    <t>95 - VAL D'OISE</t>
  </si>
  <si>
    <t>971</t>
  </si>
  <si>
    <t>971 - GUADELOUPE</t>
  </si>
  <si>
    <t>OUTREMER yc Mayotte</t>
  </si>
  <si>
    <t>972</t>
  </si>
  <si>
    <t>972 - MARTINIQUE</t>
  </si>
  <si>
    <t>973</t>
  </si>
  <si>
    <t>973 - GUYANE</t>
  </si>
  <si>
    <t>974</t>
  </si>
  <si>
    <t>974 - LA REUNION</t>
  </si>
  <si>
    <t>976</t>
  </si>
  <si>
    <t>976 - MAYOTTE</t>
  </si>
  <si>
    <t>987</t>
  </si>
  <si>
    <t>987 - POLYNESIE FRANC.</t>
  </si>
  <si>
    <t>988</t>
  </si>
  <si>
    <t>988 - NOUVELLE CALEDONIE</t>
  </si>
  <si>
    <t>TOTAL</t>
  </si>
  <si>
    <t>OK</t>
  </si>
  <si>
    <t>ASS-2021</t>
  </si>
  <si>
    <t>2020-2021</t>
  </si>
  <si>
    <t>ENF-MAT-2021</t>
  </si>
  <si>
    <t>ENF-ELE-2021</t>
  </si>
  <si>
    <t>Tarif Elém 2021</t>
  </si>
  <si>
    <t>Tarif Mat 2021</t>
  </si>
  <si>
    <t>Enseignant-e</t>
  </si>
  <si>
    <t>Statut de droit privé</t>
  </si>
  <si>
    <t>ETAPS en disponibilté</t>
  </si>
  <si>
    <t>statut de droit privé</t>
  </si>
  <si>
    <t>pas de délégué</t>
  </si>
  <si>
    <t>Statut 2018-2019</t>
  </si>
  <si>
    <t>Fonctionnaire territoriale ETAPS en disponibilté</t>
  </si>
  <si>
    <t>Enseignant en disponibilité sous cdd de 10 mois</t>
  </si>
  <si>
    <t>mi-temps enseignant / mi-temps droit privé</t>
  </si>
  <si>
    <t>Détaché de l'Education Nationale</t>
  </si>
  <si>
    <t>Enseignant détaché</t>
  </si>
  <si>
    <t>Salarié UFOLEP</t>
  </si>
  <si>
    <t>enseignant détaché Ligue de l'enseignement 94</t>
  </si>
  <si>
    <t>Employée par l'associatio et détachée sur le poste</t>
  </si>
  <si>
    <t>Statut 2019-2020</t>
  </si>
  <si>
    <t>Statut 2020-2021</t>
  </si>
  <si>
    <t>Statut du Délégué</t>
  </si>
  <si>
    <t>Licences adultes</t>
  </si>
  <si>
    <t>Licences élémentaires</t>
  </si>
  <si>
    <t>Licences maternelles</t>
  </si>
  <si>
    <t>ADULTES-2021</t>
  </si>
  <si>
    <t>2021-2022</t>
  </si>
  <si>
    <t>Tarif Elém 2022</t>
  </si>
  <si>
    <t>Tarif Mat 2022</t>
  </si>
  <si>
    <t>Quotité de la mission USEP</t>
  </si>
  <si>
    <t>Quotité 2018-2019</t>
  </si>
  <si>
    <t>Quotité 2019-2020</t>
  </si>
  <si>
    <t>Quotité 2020-2021</t>
  </si>
  <si>
    <t>RESSOURCES HUMAINES</t>
  </si>
  <si>
    <t>Autres emplois ou missions</t>
  </si>
  <si>
    <t>Service civique</t>
  </si>
  <si>
    <t>Emploi aidé</t>
  </si>
  <si>
    <t>Contrat de prof.</t>
  </si>
  <si>
    <t>Salarié</t>
  </si>
  <si>
    <t>Autre</t>
  </si>
  <si>
    <t>Emploi ANS</t>
  </si>
  <si>
    <t>Poste de chargé de mission</t>
  </si>
  <si>
    <t>30. Un poste de chargé de mission "Développement du sport scolaire dans le 1er degré" a-t-il été créé ?</t>
  </si>
  <si>
    <t>OUI</t>
  </si>
  <si>
    <t>NON</t>
  </si>
  <si>
    <t>TOTAL Rencontres 2018-2019</t>
  </si>
  <si>
    <t>TOTAL Rencontres 2019-2020</t>
  </si>
  <si>
    <t>TOTAL Rencontres 2020-2021</t>
  </si>
  <si>
    <t>Total Rencontres</t>
  </si>
  <si>
    <t>Total Participations enfants licenciés</t>
  </si>
  <si>
    <t>NB Participations enfants licenciés 2018-2019</t>
  </si>
  <si>
    <t>NB Participations enfants licenciés 2019-2020</t>
  </si>
  <si>
    <t>NB Participations enfants licenciés 2020-2021</t>
  </si>
  <si>
    <t>Total Rencontres exclusivement Hors Temps Scolaire</t>
  </si>
  <si>
    <t>NB Participations enfants licenciés C1 2020-2021</t>
  </si>
  <si>
    <t>NB Participations enfants licenciés C1 2018-2019</t>
  </si>
  <si>
    <t>NB Participations enfants licenciés C2 2018-2019</t>
  </si>
  <si>
    <t>NB Participations enfants licenciés C3 2018-2019</t>
  </si>
  <si>
    <t>NB Participations enfants licenciés C1 2019-2020</t>
  </si>
  <si>
    <t>NB Participations enfants licenciés C2 2019-2020</t>
  </si>
  <si>
    <t>NB Participations enfants licenciés C3 2019-2020</t>
  </si>
  <si>
    <t>NB Participations enfants licenciés C2 2020-2021</t>
  </si>
  <si>
    <t>NB Participations enfants licenciés C3 2020-2021</t>
  </si>
  <si>
    <t>NB Recontres e clusivement Hors Temps Scolaire2018-2019</t>
  </si>
  <si>
    <t>NB Recontres e clusivement Hors Temps Scolaire2019-2020</t>
  </si>
  <si>
    <t>NB Recontres e clusivement Hors Temps Scolaire2020-2021</t>
  </si>
  <si>
    <t xml:space="preserve">  </t>
  </si>
  <si>
    <t>79 - DEU  SEVRES</t>
  </si>
  <si>
    <t>Commission Génération 2024</t>
  </si>
  <si>
    <t>Nombre d'écoles labellisées Génération 2024 ayant une association USEP</t>
  </si>
  <si>
    <t>Nombre d'associations USEP engagées dans des actions sur des territoires Cités éducatives.</t>
  </si>
  <si>
    <t>Nombre de conventions signées avec des collectivités labellisées Terre de Jeux 2024.</t>
  </si>
  <si>
    <t>Journée Olympique</t>
  </si>
  <si>
    <t>Nombre d'enfants mobilisés lors de la Journée nationale du sport scolaire ?</t>
  </si>
  <si>
    <t>Nombre d'enfants mobilisés lors de la Semaine Olympique et Paralympique  ?</t>
  </si>
  <si>
    <t>Nombre d'enfants mobilisés lors de la Journée Olympique ?</t>
  </si>
  <si>
    <t>Hors Temps Scolaire</t>
  </si>
  <si>
    <t>Temps Scolaire</t>
  </si>
  <si>
    <t>Journée Nationale 
du Sport Scolaire</t>
  </si>
  <si>
    <t>Semaine Olympique 
et Paralympique</t>
  </si>
  <si>
    <t xml:space="preserve">AS USEP engagées 
dans des actions </t>
  </si>
  <si>
    <t xml:space="preserve">Commission ou GT </t>
  </si>
  <si>
    <t>Ecoles la bellisées 
(avec AS USEP)</t>
  </si>
  <si>
    <t xml:space="preserve">Conventions </t>
  </si>
  <si>
    <t>cycle 1</t>
  </si>
  <si>
    <t>cycle 2</t>
  </si>
  <si>
    <t>cycle 3</t>
  </si>
  <si>
    <t>Participation 
à la dynamique 2024</t>
  </si>
  <si>
    <t>Nombre d'écoles USEP</t>
  </si>
  <si>
    <t>Nombre d'écoles TOTAL</t>
  </si>
  <si>
    <t>Taux d'implantation</t>
  </si>
  <si>
    <t>TOT écoles 2019</t>
  </si>
  <si>
    <t>TOT écoles 2020</t>
  </si>
  <si>
    <t>TOT écoles 2021</t>
  </si>
  <si>
    <t>NB écoles USEP 2019</t>
  </si>
  <si>
    <t>NB écoles USEP 2020</t>
  </si>
  <si>
    <t>NB écoles USEP 2021</t>
  </si>
  <si>
    <t xml:space="preserve">X </t>
  </si>
  <si>
    <t>Nombre d'enfants USEP</t>
  </si>
  <si>
    <t>Nombre d'enfants TOTAL</t>
  </si>
  <si>
    <t>Taux d'implantation (nombre d'écoles)</t>
  </si>
  <si>
    <t>Taux d'implantation (nombre d'enfants)</t>
  </si>
  <si>
    <t>Moyenne nationale</t>
  </si>
  <si>
    <t>TOT écoles 2017</t>
  </si>
  <si>
    <t>TOT écoles 2018</t>
  </si>
  <si>
    <t>NB écoles USEP 2017</t>
  </si>
  <si>
    <t>NB écoles USEP 2018</t>
  </si>
  <si>
    <t>NC</t>
  </si>
  <si>
    <t>NR</t>
  </si>
  <si>
    <t>ENF-USEP-TOT-2017</t>
  </si>
  <si>
    <t>ENF-USEP-TOT-2018</t>
  </si>
  <si>
    <t>ENF-USEP-TOT-2019</t>
  </si>
  <si>
    <t>ENF-USEP-TOT-2020</t>
  </si>
  <si>
    <t>ENF-USEP-TOT-2021</t>
  </si>
  <si>
    <t>TOT élèves 2017</t>
  </si>
  <si>
    <t>TOT élèves 2018</t>
  </si>
  <si>
    <t>TOT élèves 2019</t>
  </si>
  <si>
    <t>TOT élèves 2020</t>
  </si>
  <si>
    <t>TOT élèves 2021</t>
  </si>
  <si>
    <t>Tarif Affil 2020</t>
  </si>
  <si>
    <t>Tarif Affil 2021</t>
  </si>
  <si>
    <t>Tarif Adulte 2020</t>
  </si>
  <si>
    <t>Tarif Adulte 2021</t>
  </si>
  <si>
    <t>Tarif de la licence adulte</t>
  </si>
  <si>
    <t>Tarif affiliation</t>
  </si>
  <si>
    <t>Athlétisme (courses, sauts, lancers) 2020</t>
  </si>
  <si>
    <t>Cross, course longue, endurance 2020</t>
  </si>
  <si>
    <t>Natation 2020</t>
  </si>
  <si>
    <t>Aviron 2020</t>
  </si>
  <si>
    <t>Canoë-Kayak 2020</t>
  </si>
  <si>
    <t>Course et activités d'orientation 2020</t>
  </si>
  <si>
    <t>Randonnée pédestre 2020</t>
  </si>
  <si>
    <t>Randonnée cycliste, cyclisme, VTT 2020</t>
  </si>
  <si>
    <t>Équitation ou Randonnée équestre 2020</t>
  </si>
  <si>
    <t>Ski alpin 2020</t>
  </si>
  <si>
    <t>Ski de fond 2020</t>
  </si>
  <si>
    <t>Escalade 2020</t>
  </si>
  <si>
    <t>Patinage à roulettes, Rollers 2020</t>
  </si>
  <si>
    <t>Patinette, Planche à roulettes… 2020</t>
  </si>
  <si>
    <t>Patinage sur glace 2020</t>
  </si>
  <si>
    <t>Engins roulants (maternelle et C2) 2020</t>
  </si>
  <si>
    <t>Voile 2020</t>
  </si>
  <si>
    <t>Triathlon, parcours d'activités enchaînées 2020</t>
  </si>
  <si>
    <t>Acrosport 2020</t>
  </si>
  <si>
    <t>Arts du cirque 2020</t>
  </si>
  <si>
    <t>Danse 2020</t>
  </si>
  <si>
    <t>GRS 2020</t>
  </si>
  <si>
    <t>Gymnastique, Trampoline 2020</t>
  </si>
  <si>
    <t>Badminton 2020</t>
  </si>
  <si>
    <t>Base-Ball 2020</t>
  </si>
  <si>
    <t>Basket-Ball 2020</t>
  </si>
  <si>
    <t>Sport Boules 2020</t>
  </si>
  <si>
    <t>Boxe 2020</t>
  </si>
  <si>
    <t>Cricket 2020</t>
  </si>
  <si>
    <t>Crosse québécoise, Intercrosse 2020</t>
  </si>
  <si>
    <t>Échecs 2020</t>
  </si>
  <si>
    <t>Escrime 2020</t>
  </si>
  <si>
    <t>Football 2020</t>
  </si>
  <si>
    <t>Golf 2020</t>
  </si>
  <si>
    <t>Handball 2020</t>
  </si>
  <si>
    <t>Hockey 2020</t>
  </si>
  <si>
    <t>Hockey sur glace 2020</t>
  </si>
  <si>
    <t>Jeux collectifs 2020</t>
  </si>
  <si>
    <t>Jeux d'opposition 2020</t>
  </si>
  <si>
    <t>Jeux du patrimoine (traditionnels...) 2020</t>
  </si>
  <si>
    <t>Judo, Aïkido, Karaté 2020</t>
  </si>
  <si>
    <t>Kinball 2020</t>
  </si>
  <si>
    <t>Korfball 2020</t>
  </si>
  <si>
    <t>Lutte 2020</t>
  </si>
  <si>
    <t>Pelote basque 2020</t>
  </si>
  <si>
    <t>Pétanque 2020</t>
  </si>
  <si>
    <t>Peteca 2020</t>
  </si>
  <si>
    <t>Rugby, Balle ovale 2020</t>
  </si>
  <si>
    <t>Tchouk Ball 2020</t>
  </si>
  <si>
    <t>Tennis 2020</t>
  </si>
  <si>
    <t>Tennis de table 2020</t>
  </si>
  <si>
    <t>Tir à l'arc 2020</t>
  </si>
  <si>
    <t>Ultimate, Frisbee 2020</t>
  </si>
  <si>
    <t>Volley-Ball 2020</t>
  </si>
  <si>
    <t>TOTAL Rencontres 2020</t>
  </si>
  <si>
    <t>Athlétisme (courses, sauts, lancers) 2021</t>
  </si>
  <si>
    <t>Cross, course longue, endurance 2021</t>
  </si>
  <si>
    <t>Natation 2021</t>
  </si>
  <si>
    <t>Aviron 2021</t>
  </si>
  <si>
    <t>Canoë-Kayak 2021</t>
  </si>
  <si>
    <t>Course et activités d'orientation 2021</t>
  </si>
  <si>
    <t>Randonnée pédestre 2021</t>
  </si>
  <si>
    <t>Randonnée cycliste, cyclisme, VTT 2021</t>
  </si>
  <si>
    <t>Équitation ou Randonnée équestre 2021</t>
  </si>
  <si>
    <t>Ski alpin 2021</t>
  </si>
  <si>
    <t>Ski de fond 2021</t>
  </si>
  <si>
    <t>Escalade 2021</t>
  </si>
  <si>
    <t>Patinage à roulettes, Rollers 2021</t>
  </si>
  <si>
    <t>Patinette, Planche à roulettes… 2021</t>
  </si>
  <si>
    <t>Patinage sur glace 2021</t>
  </si>
  <si>
    <t>Engins roulants (maternelle et C2) 2021</t>
  </si>
  <si>
    <t>Voile 2021</t>
  </si>
  <si>
    <t>Triathlon, parcours d'activités enchaînées 2021</t>
  </si>
  <si>
    <t>Acrosport 2021</t>
  </si>
  <si>
    <t>Arts du cirque 2021</t>
  </si>
  <si>
    <t>Danse 2021</t>
  </si>
  <si>
    <t>GRS 2021</t>
  </si>
  <si>
    <t>Gymnastique, Trampoline 2021</t>
  </si>
  <si>
    <t>Badminton 2021</t>
  </si>
  <si>
    <t>Base-Ball 2021</t>
  </si>
  <si>
    <t>Basket-Ball 2021</t>
  </si>
  <si>
    <t>Sport Boules 2021</t>
  </si>
  <si>
    <t>Boxe 2021</t>
  </si>
  <si>
    <t>Cricket 2021</t>
  </si>
  <si>
    <t>Crosse québécoise, Intercrosse 2021</t>
  </si>
  <si>
    <t>Échecs 2021</t>
  </si>
  <si>
    <t>Escrime 2021</t>
  </si>
  <si>
    <t>Football 2021</t>
  </si>
  <si>
    <t>Golf 2021</t>
  </si>
  <si>
    <t>Handball 2021</t>
  </si>
  <si>
    <t>Hockey 2021</t>
  </si>
  <si>
    <t>Hockey sur glace 2021</t>
  </si>
  <si>
    <t>Jeux collectifs 2021</t>
  </si>
  <si>
    <t>Jeux d'opposition 2021</t>
  </si>
  <si>
    <t>Jeux du patrimoine (traditionnels...) 2021</t>
  </si>
  <si>
    <t>Judo, Aïkido, Karaté 2021</t>
  </si>
  <si>
    <t>Kinball 2021</t>
  </si>
  <si>
    <t>Korfball 2021</t>
  </si>
  <si>
    <t>Lutte 2021</t>
  </si>
  <si>
    <t>Pelote basque 2021</t>
  </si>
  <si>
    <t>Pétanque 2021</t>
  </si>
  <si>
    <t>Peteca 2021</t>
  </si>
  <si>
    <t>Rugby, Balle ovale 2021</t>
  </si>
  <si>
    <t>Tchouk Ball 2021</t>
  </si>
  <si>
    <t>Tennis 2021</t>
  </si>
  <si>
    <t>Tennis de table 2021</t>
  </si>
  <si>
    <t>Tir à l'arc 2021</t>
  </si>
  <si>
    <t>Ultimate, Frisbee 2021</t>
  </si>
  <si>
    <t>Volley-Ball 2021</t>
  </si>
  <si>
    <t>Athlétisme (courses, sauts, lancers) 2019</t>
  </si>
  <si>
    <t>Cross, course longue, endurance 2019</t>
  </si>
  <si>
    <t>Natation 2019</t>
  </si>
  <si>
    <t>Aviron 2019</t>
  </si>
  <si>
    <t>Canoë-Kayak 2019</t>
  </si>
  <si>
    <t>Course et activités d'orientation 2019</t>
  </si>
  <si>
    <t>Randonnée pédestre 2019</t>
  </si>
  <si>
    <t>Randonnée cycliste, cyclisme, VTT 2019</t>
  </si>
  <si>
    <t>Équitation ou Randonnée équestre 2019</t>
  </si>
  <si>
    <t>Ski alpin  2019</t>
  </si>
  <si>
    <t>Ski de fond 2019</t>
  </si>
  <si>
    <t>Escalade 2019</t>
  </si>
  <si>
    <t>Patinage à roulettes, Rollers 2019</t>
  </si>
  <si>
    <t>Patinette, Planche à roulettes… 2019</t>
  </si>
  <si>
    <t>Patinage sur glace 2019</t>
  </si>
  <si>
    <t>Engins roulants (maternelle et C2) 2019</t>
  </si>
  <si>
    <t>Voile 2019</t>
  </si>
  <si>
    <t>Triathlon, parcours d'activités enchaînées 2019</t>
  </si>
  <si>
    <t>Acrosport 2019</t>
  </si>
  <si>
    <t>Arts du cirque 2019</t>
  </si>
  <si>
    <t>Danse 2019</t>
  </si>
  <si>
    <t>GRS 2019</t>
  </si>
  <si>
    <t>Gymnastique, Trampoline 2019</t>
  </si>
  <si>
    <t>Badminton 2019</t>
  </si>
  <si>
    <t>Base-Ball 2019</t>
  </si>
  <si>
    <t>Basket-Ball 2019</t>
  </si>
  <si>
    <t>Sport Boules 2019</t>
  </si>
  <si>
    <t>Boxe 2019</t>
  </si>
  <si>
    <t>Cricket 2019</t>
  </si>
  <si>
    <t>Crosse québécoise, Intercrosse 2019</t>
  </si>
  <si>
    <t>Échecs 2019</t>
  </si>
  <si>
    <t>Escrime 2019</t>
  </si>
  <si>
    <t>Football 2019</t>
  </si>
  <si>
    <t>Golf 2019</t>
  </si>
  <si>
    <t>Handball 2019</t>
  </si>
  <si>
    <t>Hockey 2019</t>
  </si>
  <si>
    <t>Hockey sur glace 2019</t>
  </si>
  <si>
    <t>Jeux collectifs 2019</t>
  </si>
  <si>
    <t>Jeux d'opposition 2019</t>
  </si>
  <si>
    <t>Jeux du patrimoine (traditionnels...) 2019</t>
  </si>
  <si>
    <t>Judo, Aïkido, Karaté 2019</t>
  </si>
  <si>
    <t>Kinball 2019</t>
  </si>
  <si>
    <t>Korfball 2019</t>
  </si>
  <si>
    <t>Lutte 2019</t>
  </si>
  <si>
    <t>Pelote basque 2019</t>
  </si>
  <si>
    <t>Pétanque 2019</t>
  </si>
  <si>
    <t>Peteca 2019</t>
  </si>
  <si>
    <t>Rugby, Balle ovale 2019</t>
  </si>
  <si>
    <t>Tchouk Ball 2019</t>
  </si>
  <si>
    <t>Tennis 2019</t>
  </si>
  <si>
    <t>Tennis de table 2019</t>
  </si>
  <si>
    <t>Tir à l'arc 2019</t>
  </si>
  <si>
    <t>Ultimate, Frisbee 2019</t>
  </si>
  <si>
    <t>Volley-Ball 2019</t>
  </si>
  <si>
    <t>Produire une performance optimale, mesurable à une échéance donnée.</t>
  </si>
  <si>
    <t>Adapter ses déplacements à des environnements variés.</t>
  </si>
  <si>
    <t>S’exprimer devant les autres par une prestation artistique et/ou acrobatique.</t>
  </si>
  <si>
    <t>Conduire et maitriser un affrontement collectif ou interindividuel.</t>
  </si>
  <si>
    <t>Aviron</t>
  </si>
  <si>
    <t>Canoë-Kayak</t>
  </si>
  <si>
    <t xml:space="preserve">Course et activités d'orientation </t>
  </si>
  <si>
    <t>Randonnée pédestre</t>
  </si>
  <si>
    <t>Randonnée cycliste, cyclisme, VTT</t>
  </si>
  <si>
    <t>Natation</t>
  </si>
  <si>
    <t>Ski alpin</t>
  </si>
  <si>
    <t>Ski de fond</t>
  </si>
  <si>
    <t>Escalade</t>
  </si>
  <si>
    <t>Patinage à roulettes, Rollers</t>
  </si>
  <si>
    <t xml:space="preserve">Patinette, Planche à roulettes… </t>
  </si>
  <si>
    <t xml:space="preserve">Patinage sur glace </t>
  </si>
  <si>
    <t>Engins roulants (maternelle et C2)</t>
  </si>
  <si>
    <t>Voile</t>
  </si>
  <si>
    <t>Triathlon, parcours d'activités enchaînées</t>
  </si>
  <si>
    <t>Acrosport</t>
  </si>
  <si>
    <t>Arts du cirque</t>
  </si>
  <si>
    <t>Danse</t>
  </si>
  <si>
    <t>GRS</t>
  </si>
  <si>
    <t>Gymnastique, Trampoline</t>
  </si>
  <si>
    <t>Badminton</t>
  </si>
  <si>
    <t>Base-Ball</t>
  </si>
  <si>
    <t>Basket-Ball</t>
  </si>
  <si>
    <t>Sport Boules</t>
  </si>
  <si>
    <t>Boxe</t>
  </si>
  <si>
    <t>Cricket</t>
  </si>
  <si>
    <t>Crosse québécoise, Intercrosse</t>
  </si>
  <si>
    <t>Échecs</t>
  </si>
  <si>
    <t>Escrime</t>
  </si>
  <si>
    <t>Football</t>
  </si>
  <si>
    <t>Golf</t>
  </si>
  <si>
    <t>Handball</t>
  </si>
  <si>
    <t>Hockey</t>
  </si>
  <si>
    <t>Hockey sur glace</t>
  </si>
  <si>
    <t>Jeux collectifs</t>
  </si>
  <si>
    <t>Jeux d'opposition</t>
  </si>
  <si>
    <t>Jeux du patrimoine (traditionnels...)</t>
  </si>
  <si>
    <t>Judo, Aïkido, Karaté</t>
  </si>
  <si>
    <t xml:space="preserve">Kinball </t>
  </si>
  <si>
    <t>Lutte</t>
  </si>
  <si>
    <t>Pelote basque</t>
  </si>
  <si>
    <t>Pétanque</t>
  </si>
  <si>
    <t>Peteca</t>
  </si>
  <si>
    <t>Tennis</t>
  </si>
  <si>
    <t>Tennis de table</t>
  </si>
  <si>
    <t xml:space="preserve">Tir à l'arc </t>
  </si>
  <si>
    <t>Volley-Ball</t>
  </si>
  <si>
    <t>USEP - ÉDUCATION NATIONALE</t>
  </si>
  <si>
    <t>Subvention Conseil Départemental</t>
  </si>
  <si>
    <t>Subv Cons Dép 2019</t>
  </si>
  <si>
    <t>Subv Cons Dép 2020</t>
  </si>
  <si>
    <t>Subv Cons Dép 2021</t>
  </si>
  <si>
    <t>National</t>
  </si>
  <si>
    <t>0 assemblée</t>
  </si>
  <si>
    <t>1 assemblée</t>
  </si>
  <si>
    <t>Assemblée d'enfants 2020</t>
  </si>
  <si>
    <t>Assemblée d'enfants 2021</t>
  </si>
  <si>
    <t>2 à 4</t>
  </si>
  <si>
    <t>Plus de 10</t>
  </si>
  <si>
    <t>5 à 10</t>
  </si>
  <si>
    <t>Assemblée d'enfants 2019</t>
  </si>
  <si>
    <t>Circonscriptions et implication des CPC dans l'USEP</t>
  </si>
  <si>
    <t>Nombre de circonscriptions</t>
  </si>
  <si>
    <t>Nombre de CPC impliqués dans l'USEP</t>
  </si>
  <si>
    <t>Taux d'implication des CPC</t>
  </si>
  <si>
    <t>Nombre de circonscriptions 2020</t>
  </si>
  <si>
    <t>Nombre de CPC impliqués dans l'USEP 2020</t>
  </si>
  <si>
    <t>Nombre de circonscriptions 2019</t>
  </si>
  <si>
    <t>Nombre de CPC impliqués dans l'USEP 2019</t>
  </si>
  <si>
    <t>Nombre de circonscriptions 2021</t>
  </si>
  <si>
    <t>Nombre de CPC impliqués dans l'USEP 2021</t>
  </si>
  <si>
    <t>Représentation du département au CDOS 2021</t>
  </si>
  <si>
    <t>Représentation du département au CDOS 2020</t>
  </si>
  <si>
    <t>Représentation du département au CDOS 2019</t>
  </si>
  <si>
    <t>Oui</t>
  </si>
  <si>
    <t>Non</t>
  </si>
  <si>
    <t>Particpation à la journée olympique 2019</t>
  </si>
  <si>
    <t>Particpation à la e-journée olympique 2020</t>
  </si>
  <si>
    <t>Particpation à la journée olympique 2021</t>
  </si>
  <si>
    <t>Particpation à la journée du sport scolaire 2021</t>
  </si>
  <si>
    <t>Particpation à la journée du sport scolaire 2019</t>
  </si>
  <si>
    <t>Particpation à la journée du sport scolaire 2020</t>
  </si>
  <si>
    <t>Particpation à la Semaine olympique et paralympique 2019</t>
  </si>
  <si>
    <t>Particpation à la Semaine olympique et paralympique 2020</t>
  </si>
  <si>
    <t>Particpation à la Semaine olympique et paralympique 2021</t>
  </si>
  <si>
    <t>Marraine/Parrain 2019</t>
  </si>
  <si>
    <t>Marraine/Parrain 2020</t>
  </si>
  <si>
    <t>Marraine/Parrain 2021</t>
  </si>
  <si>
    <t>Actions CD</t>
  </si>
  <si>
    <t>Conventions CD</t>
  </si>
  <si>
    <t>Convention 
avec…</t>
  </si>
  <si>
    <t>Athlétisme</t>
  </si>
  <si>
    <t>Base-ball</t>
  </si>
  <si>
    <t>Boules</t>
  </si>
  <si>
    <t>CDOS</t>
  </si>
  <si>
    <t>Course d'orientation</t>
  </si>
  <si>
    <t>Cyclisme</t>
  </si>
  <si>
    <t>Cyclotourisme</t>
  </si>
  <si>
    <t>Equitation</t>
  </si>
  <si>
    <t>Gymnastique</t>
  </si>
  <si>
    <t>Handisport</t>
  </si>
  <si>
    <t>Judo</t>
  </si>
  <si>
    <t>Karaté</t>
  </si>
  <si>
    <t>Roller</t>
  </si>
  <si>
    <t>Rugby</t>
  </si>
  <si>
    <t>Sport adapté</t>
  </si>
  <si>
    <t>Tir</t>
  </si>
  <si>
    <t>Tir à l'arc</t>
  </si>
  <si>
    <t>Triathlon</t>
  </si>
  <si>
    <t>UFOLEP</t>
  </si>
  <si>
    <t>UNSS</t>
  </si>
  <si>
    <t>Volley-ball</t>
  </si>
  <si>
    <t>Randonnée P2DESTRE</t>
  </si>
  <si>
    <t>Marraine-Parrain</t>
  </si>
  <si>
    <t>Elu USEP au CDOS</t>
  </si>
  <si>
    <t>DYNAMIQUE 2024 ET MOUVEMENT SPORTIF</t>
  </si>
  <si>
    <t>Action avec…</t>
  </si>
  <si>
    <t>Tarif Affil 2022</t>
  </si>
  <si>
    <t>Tarif Adulte 2022</t>
  </si>
  <si>
    <t>Tarif du Comité départemental</t>
  </si>
  <si>
    <t>Communication</t>
  </si>
  <si>
    <t>Nombre d'assemblées d'enfants</t>
  </si>
  <si>
    <t>2 à 4 assemblées</t>
  </si>
  <si>
    <t>5 à 10 assemblées</t>
  </si>
  <si>
    <t>Plus de 10 assemblées</t>
  </si>
  <si>
    <r>
      <rPr>
        <b/>
        <sz val="36"/>
        <rFont val="Calibri"/>
        <family val="2"/>
        <scheme val="minor"/>
      </rPr>
      <t>Participation 
aux temps forts</t>
    </r>
    <r>
      <rPr>
        <b/>
        <sz val="24"/>
        <rFont val="Calibri"/>
        <family val="2"/>
        <scheme val="minor"/>
      </rPr>
      <t xml:space="preserve">
</t>
    </r>
    <r>
      <rPr>
        <sz val="18"/>
        <rFont val="Calibri"/>
        <family val="2"/>
        <scheme val="minor"/>
      </rPr>
      <t>Nombre d'enfants participants</t>
    </r>
  </si>
  <si>
    <t>Tableau de Bord
2020 - 2021</t>
  </si>
  <si>
    <r>
      <t>·</t>
    </r>
    <r>
      <rPr>
        <sz val="20"/>
        <color theme="1"/>
        <rFont val="Times New Roman"/>
        <family val="1"/>
      </rPr>
      <t>         Rencontres et activités</t>
    </r>
  </si>
  <si>
    <t>Données :</t>
  </si>
  <si>
    <t>Effectifs déclarés 2016-2017 à 2020-2021</t>
  </si>
  <si>
    <t>Novembre 2018 : Réalisation Observatoire des Pratiques, de l'Evaluation et de la Prospective - USEP</t>
  </si>
  <si>
    <r>
      <t>·</t>
    </r>
    <r>
      <rPr>
        <sz val="20"/>
        <color theme="1"/>
        <rFont val="Times New Roman"/>
        <family val="1"/>
      </rPr>
      <t>         Implantation</t>
    </r>
  </si>
  <si>
    <r>
      <t>·</t>
    </r>
    <r>
      <rPr>
        <sz val="20"/>
        <color theme="1"/>
        <rFont val="Times New Roman"/>
        <family val="1"/>
      </rPr>
      <t>         Politique tarifaire</t>
    </r>
  </si>
  <si>
    <r>
      <t>·</t>
    </r>
    <r>
      <rPr>
        <sz val="20"/>
        <color theme="1"/>
        <rFont val="Times New Roman"/>
        <family val="1"/>
      </rPr>
      <t>         Ressources humaines</t>
    </r>
  </si>
  <si>
    <r>
      <t>·</t>
    </r>
    <r>
      <rPr>
        <sz val="20"/>
        <color theme="1"/>
        <rFont val="Times New Roman"/>
        <family val="1"/>
      </rPr>
      <t>         Dynamique 2024 et mouvement sportif</t>
    </r>
  </si>
  <si>
    <r>
      <t>·</t>
    </r>
    <r>
      <rPr>
        <sz val="20"/>
        <color theme="1"/>
        <rFont val="Times New Roman"/>
        <family val="1"/>
      </rPr>
      <t>         Activités pratiquées</t>
    </r>
  </si>
  <si>
    <r>
      <t>·</t>
    </r>
    <r>
      <rPr>
        <sz val="20"/>
        <color theme="1"/>
        <rFont val="Times New Roman"/>
        <family val="1"/>
      </rPr>
      <t>         Communication</t>
    </r>
  </si>
  <si>
    <t>Enquêtes "Statistiques" 2017-2018 à 2020-2021</t>
  </si>
  <si>
    <t>Recueils des rencontres "Affiligue" 2018-2019 à 2020-2021</t>
  </si>
  <si>
    <r>
      <t>·</t>
    </r>
    <r>
      <rPr>
        <sz val="20"/>
        <color theme="1"/>
        <rFont val="Times New Roman"/>
        <family val="1"/>
      </rPr>
      <t>         USEP - Education nationale</t>
    </r>
  </si>
  <si>
    <t>Pourcentage de comités</t>
  </si>
  <si>
    <t>ACTIVITES PRATIQUEES (nombre de rencontres)</t>
  </si>
  <si>
    <t xml:space="preserve">Athlétisme (courses, sauts, lancers, marche) </t>
  </si>
  <si>
    <t xml:space="preserve">Cross, course longue, endurance... </t>
  </si>
  <si>
    <t>Randonnée équestre, équitation</t>
  </si>
  <si>
    <t>Rugby, balle ovale</t>
  </si>
  <si>
    <t>Tchoukball</t>
  </si>
  <si>
    <t>Korfbal</t>
  </si>
  <si>
    <t>POLITIQUE TARIFAIRE (Tarif de base saisi dans Affiligue)</t>
  </si>
  <si>
    <t>E-mail/ Newsletter/ BC départemental</t>
  </si>
  <si>
    <t>En direct sur le terrain</t>
  </si>
  <si>
    <t>Réunion/ AG/ RDV individuel/ Regroupement</t>
  </si>
  <si>
    <t>Site internet</t>
  </si>
  <si>
    <t>Dossier d'organisation/ Cahier des charges</t>
  </si>
  <si>
    <t>Stage/ Formation</t>
  </si>
  <si>
    <t>Réseaux sociaux</t>
  </si>
  <si>
    <t>Drive</t>
  </si>
  <si>
    <t>Salons</t>
  </si>
  <si>
    <t>Canaux utilisés pour diffuser les outils nationaux</t>
  </si>
  <si>
    <t>Outils de communication utilisés</t>
  </si>
  <si>
    <t>Banderoles</t>
  </si>
  <si>
    <t>Site</t>
  </si>
  <si>
    <t>Bulletin de rentrée</t>
  </si>
  <si>
    <t>Kakémonos</t>
  </si>
  <si>
    <t>Vêtements logotés</t>
  </si>
  <si>
    <t>Objets logotés</t>
  </si>
  <si>
    <t>Newsletter</t>
  </si>
  <si>
    <t>Blog</t>
  </si>
  <si>
    <r>
      <t>·</t>
    </r>
    <r>
      <rPr>
        <sz val="20"/>
        <color theme="1"/>
        <rFont val="Times New Roman"/>
        <family val="1"/>
      </rPr>
      <t>         Actions et conventions avec les comités départementaux sportifs</t>
    </r>
  </si>
  <si>
    <t>Flying disc</t>
  </si>
  <si>
    <t>Bouliste (Sport boules)</t>
  </si>
  <si>
    <t>Pétanque et Jeu provençal</t>
  </si>
  <si>
    <t>Roller et Skateboard</t>
  </si>
  <si>
    <t>% de comités
ayant une action</t>
  </si>
  <si>
    <t>% de comités
ayant une convention</t>
  </si>
  <si>
    <t>ACTIONS ET CONVENTIONS AVEC LES COMITES SPORTIFS (2020-2021)</t>
  </si>
  <si>
    <t>Nombre d'assemblées d'enfants 
organisées par le comité</t>
  </si>
  <si>
    <t>Flying disc convention</t>
  </si>
  <si>
    <t>Flying disc action</t>
  </si>
  <si>
    <t>Note : données enregistrées par le comité sous Webrencontres ou au moyen d'un tableau Excel transmis en fin de saison.</t>
  </si>
  <si>
    <t>N° du comité</t>
  </si>
  <si>
    <t>Février 2022 : Réalisation Laboratoire des Pratiques - USEP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</si>
</sst>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&quot;€&quot;_-;\-* #,##0.00\ &quot;€&quot;_-;_-* &quot;-&quot;??\ &quot;€&quot;_-;_-@"/>
    <numFmt numFmtId="165" formatCode="_-* #,##0.00\ [$€-40C]_-;\-* #,##0.00\ [$€-40C]_-;_-* &quot;-&quot;??\ [$€-40C]_-;_-@_-"/>
    <numFmt numFmtId="166" formatCode="0#&quot; &quot;##&quot; &quot;##&quot; &quot;##&quot; &quot;##"/>
    <numFmt numFmtId="167" formatCode="0.0%"/>
    <numFmt numFmtId="168" formatCode="#,##0.00\ &quot;€&quot;"/>
  </numFmts>
  <fonts count="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8"/>
      <name val="Calibri"/>
      <family val="2"/>
    </font>
    <font>
      <b/>
      <sz val="2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36"/>
      <name val="Calibri"/>
      <family val="2"/>
      <scheme val="minor"/>
    </font>
    <font>
      <i/>
      <sz val="28"/>
      <name val="Calibri"/>
      <family val="2"/>
    </font>
    <font>
      <sz val="36"/>
      <name val="Calibri"/>
      <family val="2"/>
      <scheme val="minor"/>
    </font>
    <font>
      <b/>
      <i/>
      <sz val="36"/>
      <name val="Calibri"/>
      <family val="2"/>
      <scheme val="minor"/>
    </font>
    <font>
      <b/>
      <sz val="4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rgb="FFFF0000"/>
      <name val="Calibri"/>
      <family val="2"/>
    </font>
    <font>
      <b/>
      <sz val="24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8"/>
      <name val="Calibri"/>
      <family val="2"/>
      <scheme val="minor"/>
    </font>
    <font>
      <sz val="48"/>
      <name val="Calibri"/>
      <family val="2"/>
      <scheme val="minor"/>
    </font>
    <font>
      <b/>
      <sz val="18"/>
      <color theme="0"/>
      <name val="Calibri"/>
      <family val="2"/>
    </font>
    <font>
      <b/>
      <sz val="20"/>
      <color theme="0"/>
      <name val="Calibri"/>
      <family val="2"/>
    </font>
    <font>
      <b/>
      <sz val="28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i/>
      <sz val="24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8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theme="1"/>
      <name val="Symbol"/>
      <family val="1"/>
      <charset val="2"/>
    </font>
    <font>
      <sz val="2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48"/>
      <color theme="0"/>
      <name val="Calibri"/>
      <family val="2"/>
    </font>
    <font>
      <b/>
      <sz val="26"/>
      <name val="Calibri"/>
      <family val="2"/>
      <scheme val="minor"/>
    </font>
    <font>
      <b/>
      <sz val="32"/>
      <name val="Calibri"/>
      <family val="2"/>
      <scheme val="minor"/>
    </font>
    <font>
      <sz val="26"/>
      <name val="Calibri"/>
      <family val="2"/>
      <scheme val="minor"/>
    </font>
    <font>
      <sz val="24"/>
      <name val="Calibri"/>
      <family val="2"/>
      <scheme val="minor"/>
    </font>
    <font>
      <sz val="24"/>
      <color indexed="81"/>
      <name val="Tahoma"/>
      <family val="2"/>
    </font>
  </fonts>
  <fills count="3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548135"/>
        <bgColor rgb="FF548135"/>
      </patternFill>
    </fill>
    <fill>
      <patternFill patternType="solid">
        <fgColor rgb="FFFFFF00"/>
        <bgColor rgb="FF54813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548135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00B0F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rgb="FF548135"/>
      </patternFill>
    </fill>
    <fill>
      <patternFill patternType="solid">
        <fgColor theme="8" tint="0.79998168889431442"/>
        <bgColor rgb="FF548135"/>
      </patternFill>
    </fill>
    <fill>
      <patternFill patternType="solid">
        <fgColor theme="9" tint="0.79998168889431442"/>
        <bgColor rgb="FF548135"/>
      </patternFill>
    </fill>
    <fill>
      <patternFill patternType="solid">
        <fgColor theme="5" tint="0.79998168889431442"/>
        <bgColor rgb="FF548135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354">
    <xf numFmtId="0" fontId="0" fillId="0" borderId="0" xfId="0"/>
    <xf numFmtId="49" fontId="1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 applyAlignment="1">
      <alignment textRotation="90" wrapText="1"/>
    </xf>
    <xf numFmtId="0" fontId="1" fillId="0" borderId="3" xfId="0" applyFont="1" applyBorder="1" applyAlignment="1">
      <alignment horizontal="center" textRotation="90" wrapText="1"/>
    </xf>
    <xf numFmtId="0" fontId="1" fillId="6" borderId="1" xfId="0" applyFont="1" applyFill="1" applyBorder="1" applyAlignment="1">
      <alignment horizontal="center" textRotation="90" wrapText="1"/>
    </xf>
    <xf numFmtId="0" fontId="1" fillId="7" borderId="1" xfId="0" applyFont="1" applyFill="1" applyBorder="1" applyAlignment="1">
      <alignment horizontal="center" textRotation="90" wrapText="1"/>
    </xf>
    <xf numFmtId="0" fontId="1" fillId="8" borderId="1" xfId="0" applyFont="1" applyFill="1" applyBorder="1" applyAlignment="1">
      <alignment horizontal="center" textRotation="90" wrapText="1"/>
    </xf>
    <xf numFmtId="0" fontId="1" fillId="9" borderId="1" xfId="0" applyFont="1" applyFill="1" applyBorder="1" applyAlignment="1">
      <alignment horizontal="center" textRotation="90" wrapText="1"/>
    </xf>
    <xf numFmtId="49" fontId="0" fillId="0" borderId="1" xfId="0" applyNumberFormat="1" applyBorder="1" applyAlignment="1">
      <alignment horizontal="center"/>
    </xf>
    <xf numFmtId="0" fontId="1" fillId="0" borderId="1" xfId="0" applyFont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3" fontId="0" fillId="7" borderId="1" xfId="0" applyNumberFormat="1" applyFill="1" applyBorder="1" applyAlignment="1">
      <alignment horizontal="center"/>
    </xf>
    <xf numFmtId="49" fontId="0" fillId="10" borderId="1" xfId="0" applyNumberFormat="1" applyFill="1" applyBorder="1" applyAlignment="1">
      <alignment horizontal="center"/>
    </xf>
    <xf numFmtId="0" fontId="1" fillId="10" borderId="1" xfId="0" applyFont="1" applyFill="1" applyBorder="1"/>
    <xf numFmtId="0" fontId="0" fillId="10" borderId="1" xfId="0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4" fillId="0" borderId="0" xfId="0" applyFont="1"/>
    <xf numFmtId="0" fontId="7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2" fontId="7" fillId="6" borderId="1" xfId="0" applyNumberFormat="1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9" fillId="0" borderId="0" xfId="0" applyFont="1"/>
    <xf numFmtId="1" fontId="14" fillId="12" borderId="1" xfId="0" applyNumberFormat="1" applyFont="1" applyFill="1" applyBorder="1" applyAlignment="1">
      <alignment horizontal="center" textRotation="90" wrapText="1"/>
    </xf>
    <xf numFmtId="1" fontId="14" fillId="13" borderId="7" xfId="0" applyNumberFormat="1" applyFont="1" applyFill="1" applyBorder="1" applyAlignment="1">
      <alignment horizontal="center" textRotation="90" wrapText="1"/>
    </xf>
    <xf numFmtId="164" fontId="13" fillId="13" borderId="8" xfId="0" applyNumberFormat="1" applyFont="1" applyFill="1" applyBorder="1"/>
    <xf numFmtId="164" fontId="13" fillId="14" borderId="8" xfId="0" applyNumberFormat="1" applyFont="1" applyFill="1" applyBorder="1"/>
    <xf numFmtId="164" fontId="13" fillId="13" borderId="9" xfId="0" applyNumberFormat="1" applyFont="1" applyFill="1" applyBorder="1"/>
    <xf numFmtId="2" fontId="0" fillId="10" borderId="1" xfId="0" applyNumberFormat="1" applyFill="1" applyBorder="1"/>
    <xf numFmtId="2" fontId="0" fillId="0" borderId="1" xfId="0" applyNumberFormat="1" applyBorder="1"/>
    <xf numFmtId="2" fontId="2" fillId="10" borderId="1" xfId="0" applyNumberFormat="1" applyFont="1" applyFill="1" applyBorder="1"/>
    <xf numFmtId="1" fontId="14" fillId="12" borderId="3" xfId="0" applyNumberFormat="1" applyFont="1" applyFill="1" applyBorder="1" applyAlignment="1">
      <alignment horizontal="center" textRotation="90" wrapText="1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1" fontId="15" fillId="0" borderId="7" xfId="0" applyNumberFormat="1" applyFont="1" applyBorder="1" applyAlignment="1">
      <alignment horizontal="center" textRotation="90" wrapText="1"/>
    </xf>
    <xf numFmtId="166" fontId="13" fillId="0" borderId="8" xfId="0" applyNumberFormat="1" applyFont="1" applyBorder="1"/>
    <xf numFmtId="1" fontId="13" fillId="15" borderId="0" xfId="0" applyNumberFormat="1" applyFont="1" applyFill="1"/>
    <xf numFmtId="0" fontId="0" fillId="15" borderId="0" xfId="0" applyFill="1"/>
    <xf numFmtId="1" fontId="15" fillId="16" borderId="7" xfId="0" applyNumberFormat="1" applyFont="1" applyFill="1" applyBorder="1" applyAlignment="1">
      <alignment horizontal="center" textRotation="90" wrapText="1"/>
    </xf>
    <xf numFmtId="1" fontId="13" fillId="16" borderId="0" xfId="0" applyNumberFormat="1" applyFont="1" applyFill="1"/>
    <xf numFmtId="1" fontId="14" fillId="17" borderId="7" xfId="0" applyNumberFormat="1" applyFont="1" applyFill="1" applyBorder="1" applyAlignment="1">
      <alignment horizontal="center" textRotation="90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" fontId="13" fillId="17" borderId="10" xfId="0" applyNumberFormat="1" applyFont="1" applyFill="1" applyBorder="1" applyAlignment="1">
      <alignment horizontal="center"/>
    </xf>
    <xf numFmtId="1" fontId="13" fillId="18" borderId="10" xfId="0" applyNumberFormat="1" applyFont="1" applyFill="1" applyBorder="1" applyAlignment="1">
      <alignment horizontal="center"/>
    </xf>
    <xf numFmtId="1" fontId="15" fillId="16" borderId="1" xfId="0" applyNumberFormat="1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15" fillId="16" borderId="3" xfId="0" applyNumberFormat="1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3" fontId="19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3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9" fillId="0" borderId="0" xfId="0" applyFont="1"/>
    <xf numFmtId="0" fontId="2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165" fontId="11" fillId="0" borderId="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1" fontId="15" fillId="20" borderId="3" xfId="0" applyNumberFormat="1" applyFont="1" applyFill="1" applyBorder="1" applyAlignment="1">
      <alignment horizontal="center" vertical="center" textRotation="90" wrapText="1"/>
    </xf>
    <xf numFmtId="1" fontId="15" fillId="21" borderId="3" xfId="0" applyNumberFormat="1" applyFont="1" applyFill="1" applyBorder="1" applyAlignment="1">
      <alignment horizontal="center" vertical="center" textRotation="90" wrapText="1"/>
    </xf>
    <xf numFmtId="1" fontId="15" fillId="22" borderId="3" xfId="0" applyNumberFormat="1" applyFont="1" applyFill="1" applyBorder="1" applyAlignment="1">
      <alignment horizontal="center" vertical="center" textRotation="90" wrapText="1"/>
    </xf>
    <xf numFmtId="1" fontId="15" fillId="23" borderId="3" xfId="0" applyNumberFormat="1" applyFont="1" applyFill="1" applyBorder="1" applyAlignment="1">
      <alignment horizontal="center" vertical="center" textRotation="90" wrapText="1"/>
    </xf>
    <xf numFmtId="0" fontId="0" fillId="7" borderId="1" xfId="0" quotePrefix="1" applyFill="1" applyBorder="1" applyAlignment="1">
      <alignment horizontal="center"/>
    </xf>
    <xf numFmtId="0" fontId="0" fillId="10" borderId="1" xfId="0" quotePrefix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0" fontId="1" fillId="26" borderId="1" xfId="0" applyFont="1" applyFill="1" applyBorder="1" applyAlignment="1">
      <alignment horizontal="center" textRotation="90" wrapText="1"/>
    </xf>
    <xf numFmtId="0" fontId="0" fillId="26" borderId="1" xfId="0" quotePrefix="1" applyFill="1" applyBorder="1" applyAlignment="1">
      <alignment horizontal="center"/>
    </xf>
    <xf numFmtId="0" fontId="26" fillId="0" borderId="0" xfId="0" applyFont="1" applyBorder="1" applyAlignment="1">
      <alignment vertical="center"/>
    </xf>
    <xf numFmtId="0" fontId="8" fillId="9" borderId="1" xfId="0" applyFont="1" applyFill="1" applyBorder="1" applyAlignment="1">
      <alignment horizontal="center"/>
    </xf>
    <xf numFmtId="0" fontId="1" fillId="27" borderId="1" xfId="0" applyFont="1" applyFill="1" applyBorder="1" applyAlignment="1">
      <alignment horizontal="center" textRotation="90" wrapText="1"/>
    </xf>
    <xf numFmtId="0" fontId="0" fillId="27" borderId="1" xfId="0" applyFill="1" applyBorder="1" applyAlignment="1">
      <alignment horizontal="center"/>
    </xf>
    <xf numFmtId="0" fontId="0" fillId="9" borderId="1" xfId="0" applyFill="1" applyBorder="1"/>
    <xf numFmtId="0" fontId="0" fillId="10" borderId="1" xfId="0" applyFill="1" applyBorder="1"/>
    <xf numFmtId="0" fontId="19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49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9" fontId="23" fillId="4" borderId="5" xfId="0" applyNumberFormat="1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11" borderId="0" xfId="0" applyFont="1" applyFill="1" applyAlignment="1">
      <alignment horizontal="left" vertical="center"/>
    </xf>
    <xf numFmtId="0" fontId="9" fillId="11" borderId="0" xfId="0" applyFont="1" applyFill="1" applyAlignment="1">
      <alignment horizontal="left" vertical="center"/>
    </xf>
    <xf numFmtId="0" fontId="10" fillId="24" borderId="0" xfId="0" applyFont="1" applyFill="1" applyAlignment="1">
      <alignment horizontal="left" vertical="center"/>
    </xf>
    <xf numFmtId="0" fontId="9" fillId="24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left" vertical="center"/>
    </xf>
    <xf numFmtId="0" fontId="9" fillId="28" borderId="0" xfId="0" applyFont="1" applyFill="1" applyAlignment="1">
      <alignment horizontal="left" vertical="center"/>
    </xf>
    <xf numFmtId="3" fontId="19" fillId="0" borderId="0" xfId="0" applyNumberFormat="1" applyFont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/>
    <xf numFmtId="0" fontId="32" fillId="0" borderId="0" xfId="0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29" fillId="0" borderId="0" xfId="0" applyFont="1"/>
    <xf numFmtId="0" fontId="31" fillId="0" borderId="0" xfId="0" applyFont="1" applyAlignment="1">
      <alignment horizontal="center" vertical="center"/>
    </xf>
    <xf numFmtId="0" fontId="32" fillId="15" borderId="0" xfId="0" applyFont="1" applyFill="1" applyBorder="1" applyAlignment="1">
      <alignment vertical="center"/>
    </xf>
    <xf numFmtId="0" fontId="32" fillId="15" borderId="0" xfId="0" applyFont="1" applyFill="1" applyBorder="1" applyAlignment="1">
      <alignment horizontal="center" vertical="center"/>
    </xf>
    <xf numFmtId="0" fontId="31" fillId="0" borderId="0" xfId="0" applyFont="1" applyBorder="1"/>
    <xf numFmtId="0" fontId="29" fillId="0" borderId="0" xfId="0" applyFont="1" applyBorder="1"/>
    <xf numFmtId="0" fontId="31" fillId="0" borderId="0" xfId="0" applyFont="1" applyFill="1" applyBorder="1" applyAlignment="1">
      <alignment vertical="center"/>
    </xf>
    <xf numFmtId="168" fontId="32" fillId="0" borderId="0" xfId="1" applyNumberFormat="1" applyFont="1" applyFill="1" applyBorder="1" applyAlignment="1">
      <alignment horizontal="center" vertical="center"/>
    </xf>
    <xf numFmtId="168" fontId="31" fillId="0" borderId="0" xfId="0" applyNumberFormat="1" applyFont="1"/>
    <xf numFmtId="168" fontId="31" fillId="0" borderId="0" xfId="0" applyNumberFormat="1" applyFont="1" applyAlignment="1">
      <alignment vertical="center"/>
    </xf>
    <xf numFmtId="165" fontId="32" fillId="0" borderId="0" xfId="1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2" fontId="31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0" fontId="36" fillId="0" borderId="0" xfId="0" applyFont="1" applyFill="1" applyBorder="1" applyAlignment="1">
      <alignment vertical="center"/>
    </xf>
    <xf numFmtId="3" fontId="32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/>
    <xf numFmtId="0" fontId="35" fillId="0" borderId="0" xfId="0" applyFont="1" applyFill="1"/>
    <xf numFmtId="0" fontId="31" fillId="0" borderId="0" xfId="0" applyFont="1" applyFill="1" applyAlignment="1">
      <alignment horizontal="center" vertical="center"/>
    </xf>
    <xf numFmtId="0" fontId="30" fillId="0" borderId="0" xfId="0" applyFont="1" applyBorder="1"/>
    <xf numFmtId="0" fontId="35" fillId="0" borderId="0" xfId="0" applyFont="1" applyFill="1" applyBorder="1"/>
    <xf numFmtId="2" fontId="32" fillId="0" borderId="0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1" fillId="15" borderId="0" xfId="0" applyFont="1" applyFill="1" applyBorder="1"/>
    <xf numFmtId="9" fontId="32" fillId="15" borderId="0" xfId="2" applyFont="1" applyFill="1" applyBorder="1" applyAlignment="1">
      <alignment horizontal="center" vertical="center"/>
    </xf>
    <xf numFmtId="0" fontId="37" fillId="15" borderId="0" xfId="0" applyFont="1" applyFill="1" applyBorder="1" applyAlignment="1">
      <alignment vertical="center"/>
    </xf>
    <xf numFmtId="0" fontId="38" fillId="15" borderId="0" xfId="0" applyFont="1" applyFill="1" applyBorder="1" applyAlignment="1">
      <alignment vertical="center"/>
    </xf>
    <xf numFmtId="0" fontId="39" fillId="15" borderId="0" xfId="0" applyFont="1" applyFill="1" applyBorder="1" applyAlignment="1">
      <alignment vertical="center" wrapText="1"/>
    </xf>
    <xf numFmtId="0" fontId="40" fillId="15" borderId="0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10" fillId="29" borderId="0" xfId="0" applyFont="1" applyFill="1" applyAlignment="1">
      <alignment horizontal="left" vertical="center"/>
    </xf>
    <xf numFmtId="0" fontId="9" fillId="29" borderId="0" xfId="0" applyFont="1" applyFill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9" fillId="0" borderId="0" xfId="0" applyFont="1" applyBorder="1"/>
    <xf numFmtId="0" fontId="3" fillId="0" borderId="0" xfId="3"/>
    <xf numFmtId="0" fontId="45" fillId="0" borderId="0" xfId="3" applyFont="1"/>
    <xf numFmtId="14" fontId="46" fillId="0" borderId="0" xfId="3" quotePrefix="1" applyNumberFormat="1" applyFont="1"/>
    <xf numFmtId="0" fontId="30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167" fontId="32" fillId="15" borderId="0" xfId="2" applyNumberFormat="1" applyFont="1" applyFill="1" applyBorder="1" applyAlignment="1">
      <alignment horizontal="center" vertical="center"/>
    </xf>
    <xf numFmtId="0" fontId="30" fillId="15" borderId="0" xfId="0" applyFont="1" applyFill="1" applyBorder="1" applyAlignment="1">
      <alignment vertical="center"/>
    </xf>
    <xf numFmtId="0" fontId="49" fillId="3" borderId="0" xfId="0" applyFont="1" applyFill="1" applyAlignment="1">
      <alignment horizontal="left" vertical="center"/>
    </xf>
    <xf numFmtId="0" fontId="49" fillId="4" borderId="0" xfId="0" applyFont="1" applyFill="1" applyAlignment="1">
      <alignment horizontal="left" vertical="center"/>
    </xf>
    <xf numFmtId="0" fontId="50" fillId="2" borderId="0" xfId="0" applyFont="1" applyFill="1" applyAlignment="1">
      <alignment horizontal="left" vertical="center"/>
    </xf>
    <xf numFmtId="0" fontId="50" fillId="5" borderId="0" xfId="0" applyFont="1" applyFill="1" applyAlignment="1">
      <alignment horizontal="left" vertical="center"/>
    </xf>
    <xf numFmtId="0" fontId="49" fillId="11" borderId="0" xfId="0" applyFont="1" applyFill="1" applyAlignment="1">
      <alignment horizontal="left" vertical="center"/>
    </xf>
    <xf numFmtId="0" fontId="49" fillId="24" borderId="0" xfId="0" applyFont="1" applyFill="1" applyAlignment="1">
      <alignment horizontal="left" vertical="center"/>
    </xf>
    <xf numFmtId="0" fontId="49" fillId="28" borderId="0" xfId="0" applyFont="1" applyFill="1" applyAlignment="1">
      <alignment horizontal="left" vertical="center"/>
    </xf>
    <xf numFmtId="0" fontId="49" fillId="29" borderId="0" xfId="0" applyFont="1" applyFill="1" applyAlignment="1">
      <alignment horizontal="left" vertical="center"/>
    </xf>
    <xf numFmtId="0" fontId="0" fillId="27" borderId="0" xfId="0" applyFill="1"/>
    <xf numFmtId="0" fontId="26" fillId="0" borderId="46" xfId="0" applyFont="1" applyBorder="1" applyAlignment="1">
      <alignment vertical="center"/>
    </xf>
    <xf numFmtId="0" fontId="49" fillId="30" borderId="0" xfId="0" applyFont="1" applyFill="1" applyAlignment="1">
      <alignment horizontal="left" vertical="center"/>
    </xf>
    <xf numFmtId="0" fontId="10" fillId="30" borderId="0" xfId="0" applyFont="1" applyFill="1" applyAlignment="1">
      <alignment horizontal="left" vertical="center"/>
    </xf>
    <xf numFmtId="0" fontId="9" fillId="30" borderId="0" xfId="0" applyFont="1" applyFill="1" applyAlignment="1">
      <alignment horizontal="left" vertical="center"/>
    </xf>
    <xf numFmtId="1" fontId="11" fillId="15" borderId="16" xfId="1" applyNumberFormat="1" applyFont="1" applyFill="1" applyBorder="1" applyAlignment="1">
      <alignment horizontal="center" vertical="center"/>
    </xf>
    <xf numFmtId="1" fontId="11" fillId="15" borderId="17" xfId="1" applyNumberFormat="1" applyFont="1" applyFill="1" applyBorder="1" applyAlignment="1">
      <alignment horizontal="center" vertical="center"/>
    </xf>
    <xf numFmtId="1" fontId="11" fillId="15" borderId="18" xfId="1" applyNumberFormat="1" applyFont="1" applyFill="1" applyBorder="1" applyAlignment="1">
      <alignment horizontal="center" vertical="center"/>
    </xf>
    <xf numFmtId="9" fontId="54" fillId="15" borderId="14" xfId="2" applyFont="1" applyFill="1" applyBorder="1" applyAlignment="1">
      <alignment horizontal="center" vertical="center"/>
    </xf>
    <xf numFmtId="9" fontId="54" fillId="15" borderId="1" xfId="2" applyFont="1" applyFill="1" applyBorder="1" applyAlignment="1">
      <alignment horizontal="center" vertical="center"/>
    </xf>
    <xf numFmtId="9" fontId="54" fillId="15" borderId="15" xfId="2" applyFont="1" applyFill="1" applyBorder="1" applyAlignment="1">
      <alignment horizontal="center" vertical="center"/>
    </xf>
    <xf numFmtId="9" fontId="54" fillId="15" borderId="16" xfId="2" applyFont="1" applyFill="1" applyBorder="1" applyAlignment="1">
      <alignment horizontal="center" vertical="center"/>
    </xf>
    <xf numFmtId="9" fontId="54" fillId="15" borderId="17" xfId="2" applyFont="1" applyFill="1" applyBorder="1" applyAlignment="1">
      <alignment horizontal="center" vertical="center"/>
    </xf>
    <xf numFmtId="9" fontId="54" fillId="15" borderId="18" xfId="2" applyFont="1" applyFill="1" applyBorder="1" applyAlignment="1">
      <alignment horizontal="center" vertical="center"/>
    </xf>
    <xf numFmtId="0" fontId="43" fillId="0" borderId="0" xfId="3" applyFont="1" applyAlignment="1">
      <alignment horizontal="left" vertical="center"/>
    </xf>
    <xf numFmtId="0" fontId="43" fillId="0" borderId="0" xfId="3" applyFont="1" applyAlignment="1">
      <alignment horizontal="left" vertical="center" wrapText="1"/>
    </xf>
    <xf numFmtId="0" fontId="42" fillId="0" borderId="0" xfId="3" applyFont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19" fillId="0" borderId="32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19" fillId="0" borderId="3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center"/>
    </xf>
    <xf numFmtId="0" fontId="18" fillId="25" borderId="37" xfId="0" applyFont="1" applyFill="1" applyBorder="1" applyAlignment="1">
      <alignment horizontal="center" vertical="center"/>
    </xf>
    <xf numFmtId="0" fontId="18" fillId="25" borderId="35" xfId="0" applyFont="1" applyFill="1" applyBorder="1" applyAlignment="1">
      <alignment horizontal="center" vertical="center"/>
    </xf>
    <xf numFmtId="0" fontId="18" fillId="25" borderId="12" xfId="0" applyFont="1" applyFill="1" applyBorder="1" applyAlignment="1">
      <alignment horizontal="center" vertical="center"/>
    </xf>
    <xf numFmtId="0" fontId="18" fillId="25" borderId="41" xfId="0" applyFont="1" applyFill="1" applyBorder="1" applyAlignment="1">
      <alignment horizontal="center" vertical="center"/>
    </xf>
    <xf numFmtId="44" fontId="27" fillId="25" borderId="43" xfId="1" applyFont="1" applyFill="1" applyBorder="1" applyAlignment="1">
      <alignment horizontal="center" vertical="center" wrapText="1"/>
    </xf>
    <xf numFmtId="44" fontId="27" fillId="25" borderId="44" xfId="1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9" fontId="11" fillId="0" borderId="17" xfId="2" applyFont="1" applyBorder="1" applyAlignment="1">
      <alignment horizontal="center" vertical="center"/>
    </xf>
    <xf numFmtId="9" fontId="11" fillId="0" borderId="18" xfId="2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25" borderId="37" xfId="0" applyFont="1" applyFill="1" applyBorder="1" applyAlignment="1">
      <alignment horizontal="center" vertical="center"/>
    </xf>
    <xf numFmtId="0" fontId="17" fillId="25" borderId="35" xfId="0" applyFont="1" applyFill="1" applyBorder="1" applyAlignment="1">
      <alignment horizontal="center" vertical="center"/>
    </xf>
    <xf numFmtId="0" fontId="17" fillId="25" borderId="23" xfId="0" applyFont="1" applyFill="1" applyBorder="1" applyAlignment="1">
      <alignment horizontal="center" vertical="center"/>
    </xf>
    <xf numFmtId="0" fontId="17" fillId="25" borderId="38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9" fontId="11" fillId="0" borderId="1" xfId="2" applyFont="1" applyBorder="1" applyAlignment="1">
      <alignment horizontal="center" vertical="center"/>
    </xf>
    <xf numFmtId="9" fontId="11" fillId="0" borderId="15" xfId="2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9" fontId="11" fillId="0" borderId="21" xfId="2" applyFont="1" applyBorder="1" applyAlignment="1">
      <alignment horizontal="center" vertical="center"/>
    </xf>
    <xf numFmtId="9" fontId="11" fillId="0" borderId="22" xfId="2" applyFont="1" applyBorder="1" applyAlignment="1">
      <alignment horizontal="center" vertical="center"/>
    </xf>
    <xf numFmtId="44" fontId="28" fillId="0" borderId="14" xfId="1" applyFont="1" applyBorder="1" applyAlignment="1">
      <alignment horizontal="left" vertical="center" wrapText="1"/>
    </xf>
    <xf numFmtId="44" fontId="28" fillId="0" borderId="1" xfId="1" applyFont="1" applyBorder="1" applyAlignment="1">
      <alignment horizontal="left" vertical="center" wrapText="1"/>
    </xf>
    <xf numFmtId="44" fontId="28" fillId="0" borderId="4" xfId="1" applyFont="1" applyBorder="1" applyAlignment="1">
      <alignment horizontal="left" vertical="center" wrapText="1"/>
    </xf>
    <xf numFmtId="44" fontId="28" fillId="0" borderId="16" xfId="1" applyFont="1" applyBorder="1" applyAlignment="1">
      <alignment horizontal="left" vertical="center" wrapText="1"/>
    </xf>
    <xf numFmtId="44" fontId="28" fillId="0" borderId="17" xfId="1" applyFont="1" applyBorder="1" applyAlignment="1">
      <alignment horizontal="left" vertical="center" wrapText="1"/>
    </xf>
    <xf numFmtId="44" fontId="28" fillId="0" borderId="36" xfId="1" applyFont="1" applyBorder="1" applyAlignment="1">
      <alignment horizontal="left" vertical="center" wrapText="1"/>
    </xf>
    <xf numFmtId="44" fontId="28" fillId="0" borderId="47" xfId="1" applyFont="1" applyBorder="1" applyAlignment="1">
      <alignment horizontal="left" vertical="center" wrapText="1"/>
    </xf>
    <xf numFmtId="44" fontId="28" fillId="0" borderId="11" xfId="1" applyFont="1" applyBorder="1" applyAlignment="1">
      <alignment horizontal="left" vertical="center" wrapText="1"/>
    </xf>
    <xf numFmtId="44" fontId="28" fillId="0" borderId="48" xfId="1" applyFont="1" applyBorder="1" applyAlignment="1">
      <alignment horizontal="left" vertical="center" wrapText="1"/>
    </xf>
    <xf numFmtId="44" fontId="28" fillId="0" borderId="20" xfId="1" applyFont="1" applyBorder="1" applyAlignment="1">
      <alignment horizontal="left" vertical="center" wrapText="1"/>
    </xf>
    <xf numFmtId="44" fontId="28" fillId="0" borderId="21" xfId="1" applyFont="1" applyBorder="1" applyAlignment="1">
      <alignment horizontal="left" vertical="center" wrapText="1"/>
    </xf>
    <xf numFmtId="44" fontId="28" fillId="0" borderId="25" xfId="1" applyFont="1" applyBorder="1" applyAlignment="1">
      <alignment horizontal="left" vertical="center" wrapText="1"/>
    </xf>
    <xf numFmtId="3" fontId="19" fillId="0" borderId="4" xfId="0" applyNumberFormat="1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0" fontId="19" fillId="19" borderId="6" xfId="0" applyFont="1" applyFill="1" applyBorder="1" applyAlignment="1">
      <alignment horizontal="center" vertical="center" wrapText="1"/>
    </xf>
    <xf numFmtId="0" fontId="19" fillId="19" borderId="30" xfId="0" applyFont="1" applyFill="1" applyBorder="1" applyAlignment="1">
      <alignment horizontal="center" vertical="center" wrapText="1"/>
    </xf>
    <xf numFmtId="0" fontId="19" fillId="19" borderId="26" xfId="0" applyFont="1" applyFill="1" applyBorder="1" applyAlignment="1">
      <alignment horizontal="center" vertical="center" wrapText="1"/>
    </xf>
    <xf numFmtId="0" fontId="19" fillId="19" borderId="27" xfId="0" applyFont="1" applyFill="1" applyBorder="1" applyAlignment="1">
      <alignment horizontal="center" vertical="center" wrapText="1"/>
    </xf>
    <xf numFmtId="0" fontId="41" fillId="19" borderId="4" xfId="0" applyFont="1" applyFill="1" applyBorder="1" applyAlignment="1">
      <alignment horizontal="center" vertical="center"/>
    </xf>
    <xf numFmtId="0" fontId="41" fillId="19" borderId="2" xfId="0" applyFont="1" applyFill="1" applyBorder="1" applyAlignment="1">
      <alignment horizontal="center" vertical="center"/>
    </xf>
    <xf numFmtId="0" fontId="21" fillId="0" borderId="26" xfId="0" applyFont="1" applyBorder="1" applyAlignment="1">
      <alignment horizontal="center" textRotation="90" wrapText="1"/>
    </xf>
    <xf numFmtId="0" fontId="21" fillId="0" borderId="27" xfId="0" applyFont="1" applyBorder="1" applyAlignment="1">
      <alignment horizontal="center" textRotation="90" wrapText="1"/>
    </xf>
    <xf numFmtId="0" fontId="21" fillId="0" borderId="1" xfId="0" applyFont="1" applyBorder="1" applyAlignment="1">
      <alignment horizontal="center" textRotation="90" wrapText="1"/>
    </xf>
    <xf numFmtId="0" fontId="19" fillId="19" borderId="19" xfId="0" applyFont="1" applyFill="1" applyBorder="1" applyAlignment="1">
      <alignment horizontal="center" vertical="center" wrapText="1"/>
    </xf>
    <xf numFmtId="0" fontId="19" fillId="19" borderId="0" xfId="0" applyFont="1" applyFill="1" applyBorder="1" applyAlignment="1">
      <alignment horizontal="center" vertical="center" wrapText="1"/>
    </xf>
    <xf numFmtId="0" fontId="19" fillId="19" borderId="31" xfId="0" applyFont="1" applyFill="1" applyBorder="1" applyAlignment="1">
      <alignment horizontal="center" vertical="center" wrapText="1"/>
    </xf>
    <xf numFmtId="0" fontId="19" fillId="19" borderId="28" xfId="0" applyFont="1" applyFill="1" applyBorder="1" applyAlignment="1">
      <alignment horizontal="center" vertical="center" wrapText="1"/>
    </xf>
    <xf numFmtId="0" fontId="19" fillId="19" borderId="32" xfId="0" applyFont="1" applyFill="1" applyBorder="1" applyAlignment="1">
      <alignment horizontal="center" vertical="center" wrapText="1"/>
    </xf>
    <xf numFmtId="0" fontId="11" fillId="19" borderId="6" xfId="0" applyFont="1" applyFill="1" applyBorder="1" applyAlignment="1">
      <alignment horizontal="center" vertical="center" wrapText="1"/>
    </xf>
    <xf numFmtId="0" fontId="11" fillId="19" borderId="19" xfId="0" applyFont="1" applyFill="1" applyBorder="1" applyAlignment="1">
      <alignment horizontal="center" vertical="center" wrapText="1"/>
    </xf>
    <xf numFmtId="0" fontId="11" fillId="19" borderId="30" xfId="0" applyFont="1" applyFill="1" applyBorder="1" applyAlignment="1">
      <alignment horizontal="center" vertical="center" wrapText="1"/>
    </xf>
    <xf numFmtId="0" fontId="11" fillId="19" borderId="26" xfId="0" applyFont="1" applyFill="1" applyBorder="1" applyAlignment="1">
      <alignment horizontal="center" vertical="center" wrapText="1"/>
    </xf>
    <xf numFmtId="0" fontId="11" fillId="19" borderId="0" xfId="0" applyFont="1" applyFill="1" applyBorder="1" applyAlignment="1">
      <alignment horizontal="center" vertical="center" wrapText="1"/>
    </xf>
    <xf numFmtId="0" fontId="11" fillId="19" borderId="27" xfId="0" applyFont="1" applyFill="1" applyBorder="1" applyAlignment="1">
      <alignment horizontal="center" vertical="center" wrapText="1"/>
    </xf>
    <xf numFmtId="0" fontId="11" fillId="19" borderId="31" xfId="0" applyFont="1" applyFill="1" applyBorder="1" applyAlignment="1">
      <alignment horizontal="center" vertical="center" wrapText="1"/>
    </xf>
    <xf numFmtId="0" fontId="11" fillId="19" borderId="28" xfId="0" applyFont="1" applyFill="1" applyBorder="1" applyAlignment="1">
      <alignment horizontal="center" vertical="center" wrapText="1"/>
    </xf>
    <xf numFmtId="0" fontId="11" fillId="19" borderId="32" xfId="0" applyFont="1" applyFill="1" applyBorder="1" applyAlignment="1">
      <alignment horizontal="center" vertical="center" wrapText="1"/>
    </xf>
    <xf numFmtId="0" fontId="41" fillId="19" borderId="11" xfId="0" applyFont="1" applyFill="1" applyBorder="1" applyAlignment="1">
      <alignment horizontal="center" vertical="center"/>
    </xf>
    <xf numFmtId="1" fontId="11" fillId="15" borderId="14" xfId="1" applyNumberFormat="1" applyFont="1" applyFill="1" applyBorder="1" applyAlignment="1">
      <alignment horizontal="center" vertical="center"/>
    </xf>
    <xf numFmtId="1" fontId="11" fillId="15" borderId="4" xfId="1" applyNumberFormat="1" applyFont="1" applyFill="1" applyBorder="1" applyAlignment="1">
      <alignment horizontal="center" vertical="center"/>
    </xf>
    <xf numFmtId="0" fontId="11" fillId="15" borderId="20" xfId="0" applyFont="1" applyFill="1" applyBorder="1" applyAlignment="1">
      <alignment horizontal="center" vertical="center" wrapText="1"/>
    </xf>
    <xf numFmtId="0" fontId="11" fillId="15" borderId="25" xfId="0" applyFont="1" applyFill="1" applyBorder="1" applyAlignment="1">
      <alignment horizontal="center" vertical="center" wrapText="1"/>
    </xf>
    <xf numFmtId="0" fontId="11" fillId="15" borderId="14" xfId="0" applyFont="1" applyFill="1" applyBorder="1" applyAlignment="1">
      <alignment horizontal="center" vertical="center" wrapText="1"/>
    </xf>
    <xf numFmtId="0" fontId="11" fillId="15" borderId="4" xfId="0" applyFont="1" applyFill="1" applyBorder="1" applyAlignment="1">
      <alignment horizontal="center" vertical="center" wrapText="1"/>
    </xf>
    <xf numFmtId="0" fontId="54" fillId="15" borderId="51" xfId="0" applyFont="1" applyFill="1" applyBorder="1" applyAlignment="1">
      <alignment horizontal="center" vertical="center"/>
    </xf>
    <xf numFmtId="0" fontId="54" fillId="15" borderId="13" xfId="0" applyFont="1" applyFill="1" applyBorder="1" applyAlignment="1">
      <alignment horizontal="center" vertical="center"/>
    </xf>
    <xf numFmtId="0" fontId="54" fillId="15" borderId="45" xfId="0" applyFont="1" applyFill="1" applyBorder="1" applyAlignment="1">
      <alignment horizontal="center" vertical="center"/>
    </xf>
    <xf numFmtId="0" fontId="54" fillId="15" borderId="14" xfId="0" applyFont="1" applyFill="1" applyBorder="1" applyAlignment="1">
      <alignment horizontal="center" vertical="center"/>
    </xf>
    <xf numFmtId="0" fontId="54" fillId="15" borderId="1" xfId="0" applyFont="1" applyFill="1" applyBorder="1" applyAlignment="1">
      <alignment horizontal="center" vertical="center"/>
    </xf>
    <xf numFmtId="0" fontId="54" fillId="15" borderId="15" xfId="0" applyFont="1" applyFill="1" applyBorder="1" applyAlignment="1">
      <alignment horizontal="center" vertical="center"/>
    </xf>
    <xf numFmtId="1" fontId="11" fillId="15" borderId="16" xfId="1" applyNumberFormat="1" applyFont="1" applyFill="1" applyBorder="1" applyAlignment="1">
      <alignment horizontal="center" vertical="center"/>
    </xf>
    <xf numFmtId="1" fontId="11" fillId="15" borderId="36" xfId="1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 wrapText="1"/>
    </xf>
    <xf numFmtId="0" fontId="52" fillId="5" borderId="20" xfId="0" applyFont="1" applyFill="1" applyBorder="1" applyAlignment="1">
      <alignment horizontal="center" vertical="center"/>
    </xf>
    <xf numFmtId="0" fontId="52" fillId="5" borderId="21" xfId="0" applyFont="1" applyFill="1" applyBorder="1" applyAlignment="1">
      <alignment horizontal="center" vertical="center"/>
    </xf>
    <xf numFmtId="0" fontId="52" fillId="5" borderId="22" xfId="0" applyFont="1" applyFill="1" applyBorder="1" applyAlignment="1">
      <alignment horizontal="center" vertical="center"/>
    </xf>
    <xf numFmtId="0" fontId="53" fillId="15" borderId="14" xfId="0" applyFont="1" applyFill="1" applyBorder="1" applyAlignment="1">
      <alignment horizontal="center" vertical="center"/>
    </xf>
    <xf numFmtId="0" fontId="53" fillId="15" borderId="16" xfId="0" applyFont="1" applyFill="1" applyBorder="1" applyAlignment="1">
      <alignment horizontal="center" vertical="center"/>
    </xf>
    <xf numFmtId="0" fontId="53" fillId="15" borderId="1" xfId="0" applyFont="1" applyFill="1" applyBorder="1" applyAlignment="1">
      <alignment horizontal="center" vertical="center"/>
    </xf>
    <xf numFmtId="0" fontId="53" fillId="15" borderId="17" xfId="0" applyFont="1" applyFill="1" applyBorder="1" applyAlignment="1">
      <alignment horizontal="center" vertical="center"/>
    </xf>
    <xf numFmtId="0" fontId="53" fillId="15" borderId="15" xfId="0" applyFont="1" applyFill="1" applyBorder="1" applyAlignment="1">
      <alignment horizontal="center" vertical="center"/>
    </xf>
    <xf numFmtId="0" fontId="53" fillId="15" borderId="18" xfId="0" applyFont="1" applyFill="1" applyBorder="1" applyAlignment="1">
      <alignment horizontal="center" vertical="center"/>
    </xf>
    <xf numFmtId="1" fontId="51" fillId="15" borderId="14" xfId="1" applyNumberFormat="1" applyFont="1" applyFill="1" applyBorder="1" applyAlignment="1">
      <alignment horizontal="center" vertical="center"/>
    </xf>
    <xf numFmtId="1" fontId="51" fillId="15" borderId="1" xfId="1" applyNumberFormat="1" applyFont="1" applyFill="1" applyBorder="1" applyAlignment="1">
      <alignment horizontal="center" vertical="center"/>
    </xf>
    <xf numFmtId="1" fontId="51" fillId="15" borderId="15" xfId="1" applyNumberFormat="1" applyFont="1" applyFill="1" applyBorder="1" applyAlignment="1">
      <alignment horizontal="center" vertical="center"/>
    </xf>
    <xf numFmtId="0" fontId="52" fillId="31" borderId="20" xfId="0" applyFont="1" applyFill="1" applyBorder="1" applyAlignment="1">
      <alignment horizontal="center" vertical="center" wrapText="1"/>
    </xf>
    <xf numFmtId="0" fontId="52" fillId="31" borderId="21" xfId="0" applyFont="1" applyFill="1" applyBorder="1" applyAlignment="1">
      <alignment horizontal="center" vertical="center" wrapText="1"/>
    </xf>
    <xf numFmtId="0" fontId="52" fillId="31" borderId="22" xfId="0" applyFont="1" applyFill="1" applyBorder="1" applyAlignment="1">
      <alignment horizontal="center" vertical="center" wrapText="1"/>
    </xf>
    <xf numFmtId="0" fontId="52" fillId="31" borderId="14" xfId="0" applyFont="1" applyFill="1" applyBorder="1" applyAlignment="1">
      <alignment horizontal="center" vertical="center" wrapText="1"/>
    </xf>
    <xf numFmtId="0" fontId="52" fillId="31" borderId="1" xfId="0" applyFont="1" applyFill="1" applyBorder="1" applyAlignment="1">
      <alignment horizontal="center" vertical="center" wrapText="1"/>
    </xf>
    <xf numFmtId="0" fontId="52" fillId="31" borderId="15" xfId="0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1" fillId="19" borderId="29" xfId="0" applyFont="1" applyFill="1" applyBorder="1" applyAlignment="1">
      <alignment horizontal="center" vertical="center" wrapText="1"/>
    </xf>
    <xf numFmtId="0" fontId="11" fillId="19" borderId="13" xfId="0" applyFont="1" applyFill="1" applyBorder="1" applyAlignment="1">
      <alignment horizontal="center" vertical="center" wrapText="1"/>
    </xf>
    <xf numFmtId="0" fontId="11" fillId="19" borderId="6" xfId="0" applyFont="1" applyFill="1" applyBorder="1" applyAlignment="1">
      <alignment horizontal="center" vertical="center"/>
    </xf>
    <xf numFmtId="0" fontId="11" fillId="19" borderId="19" xfId="0" applyFont="1" applyFill="1" applyBorder="1" applyAlignment="1">
      <alignment horizontal="center" vertical="center"/>
    </xf>
    <xf numFmtId="0" fontId="11" fillId="19" borderId="30" xfId="0" applyFont="1" applyFill="1" applyBorder="1" applyAlignment="1">
      <alignment horizontal="center" vertical="center"/>
    </xf>
    <xf numFmtId="0" fontId="11" fillId="19" borderId="31" xfId="0" applyFont="1" applyFill="1" applyBorder="1" applyAlignment="1">
      <alignment horizontal="center" vertical="center"/>
    </xf>
    <xf numFmtId="0" fontId="11" fillId="19" borderId="28" xfId="0" applyFont="1" applyFill="1" applyBorder="1" applyAlignment="1">
      <alignment horizontal="center" vertical="center"/>
    </xf>
    <xf numFmtId="0" fontId="11" fillId="19" borderId="32" xfId="0" applyFont="1" applyFill="1" applyBorder="1" applyAlignment="1">
      <alignment horizontal="center" vertical="center"/>
    </xf>
    <xf numFmtId="0" fontId="11" fillId="19" borderId="29" xfId="0" applyFont="1" applyFill="1" applyBorder="1" applyAlignment="1">
      <alignment horizontal="center" vertical="center"/>
    </xf>
    <xf numFmtId="0" fontId="11" fillId="19" borderId="13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</cellXfs>
  <cellStyles count="4">
    <cellStyle name="Monétaire" xfId="1" builtinId="4"/>
    <cellStyle name="Normal" xfId="0" builtinId="0"/>
    <cellStyle name="Normal 2 2" xfId="3" xr:uid="{1CFBE961-6DC6-4974-AC28-15CF4312165C}"/>
    <cellStyle name="Pourcentage" xfId="2" builtinId="5"/>
  </cellStyles>
  <dxfs count="36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000" b="0" i="0" u="none" strike="noStrike" kern="1200" spc="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en-US" sz="4000" b="1">
                <a:solidFill>
                  <a:srgbClr val="00B050"/>
                </a:solidFill>
              </a:rPr>
              <a:t>Affiliations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0" i="0" u="none" strike="noStrike" kern="1200" spc="0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1.3199168556311414E-2"/>
          <c:y val="0.1567031465122746"/>
          <c:w val="0.97360166288737715"/>
          <c:h val="0.59515625596556843"/>
        </c:manualLayout>
      </c:layout>
      <c:lineChart>
        <c:grouping val="standard"/>
        <c:varyColors val="0"/>
        <c:ser>
          <c:idx val="0"/>
          <c:order val="0"/>
          <c:tx>
            <c:strRef>
              <c:f>'Tableaux de bord'!$A$6</c:f>
              <c:strCache>
                <c:ptCount val="1"/>
                <c:pt idx="0">
                  <c:v>Affiliations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27000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bord'!$D$5:$H$5</c:f>
              <c:strCache>
                <c:ptCount val="5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</c:strCache>
            </c:strRef>
          </c:cat>
          <c:val>
            <c:numRef>
              <c:f>'Tableaux de bord'!$D$6:$H$6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9-4E9C-B512-9ED85CDFD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727112"/>
        <c:axId val="599727768"/>
      </c:lineChart>
      <c:catAx>
        <c:axId val="59972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9727768"/>
        <c:crosses val="autoZero"/>
        <c:auto val="1"/>
        <c:lblAlgn val="ctr"/>
        <c:lblOffset val="100"/>
        <c:noMultiLvlLbl val="0"/>
      </c:catAx>
      <c:valAx>
        <c:axId val="599727768"/>
        <c:scaling>
          <c:orientation val="minMax"/>
        </c:scaling>
        <c:delete val="1"/>
        <c:axPos val="l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997271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alpha val="99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4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4000" b="1" baseline="0">
                <a:solidFill>
                  <a:srgbClr val="FF9900"/>
                </a:solidFill>
              </a:rPr>
              <a:t>Licences élémentaire</a:t>
            </a:r>
            <a:endParaRPr lang="en-US" sz="4000" b="1" baseline="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4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'Tableaux de bord'!$A$8</c:f>
              <c:strCache>
                <c:ptCount val="1"/>
                <c:pt idx="0">
                  <c:v>Licences élémentaires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27000">
                <a:solidFill>
                  <a:schemeClr val="accent2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bord'!$D$5:$H$5</c:f>
              <c:strCache>
                <c:ptCount val="5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</c:strCache>
            </c:strRef>
          </c:cat>
          <c:val>
            <c:numRef>
              <c:f>'Tableaux de bord'!$D$8:$H$8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4F-4341-95DB-B0C89201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727112"/>
        <c:axId val="599727768"/>
      </c:lineChart>
      <c:catAx>
        <c:axId val="59972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9727768"/>
        <c:crosses val="autoZero"/>
        <c:auto val="1"/>
        <c:lblAlgn val="ctr"/>
        <c:lblOffset val="100"/>
        <c:noMultiLvlLbl val="0"/>
      </c:catAx>
      <c:valAx>
        <c:axId val="5997277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99727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>
          <a:alpha val="99000"/>
        </a:sys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4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4000" b="1" baseline="0">
                <a:solidFill>
                  <a:srgbClr val="FF0000"/>
                </a:solidFill>
              </a:rPr>
              <a:t>Licences adultes</a:t>
            </a:r>
            <a:endParaRPr lang="fr-FR" sz="4000">
              <a:solidFill>
                <a:srgbClr val="FF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4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'Tableaux de bord'!$A$7</c:f>
              <c:strCache>
                <c:ptCount val="1"/>
                <c:pt idx="0">
                  <c:v>Licences adultes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27000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4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bord'!$D$5:$H$5</c:f>
              <c:strCache>
                <c:ptCount val="5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</c:strCache>
            </c:strRef>
          </c:cat>
          <c:val>
            <c:numRef>
              <c:f>'Tableaux de bord'!$D$7:$H$7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5E-48B6-914C-AE55AB350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727112"/>
        <c:axId val="599727768"/>
      </c:lineChart>
      <c:catAx>
        <c:axId val="59972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 algn="ctr">
              <a:defRPr lang="en-US"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9727768"/>
        <c:crosses val="autoZero"/>
        <c:auto val="1"/>
        <c:lblAlgn val="ctr"/>
        <c:lblOffset val="100"/>
        <c:noMultiLvlLbl val="0"/>
      </c:catAx>
      <c:valAx>
        <c:axId val="5997277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99727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alpha val="99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4000" b="1">
                <a:solidFill>
                  <a:sysClr val="windowText" lastClr="000000"/>
                </a:solidFill>
              </a:rPr>
              <a:t>Rencontres </a:t>
            </a:r>
          </a:p>
          <a:p>
            <a:pPr>
              <a:defRPr sz="4000">
                <a:solidFill>
                  <a:sysClr val="windowText" lastClr="000000"/>
                </a:solidFill>
              </a:defRPr>
            </a:pPr>
            <a:r>
              <a:rPr lang="en-US" sz="4000" b="0">
                <a:solidFill>
                  <a:sysClr val="windowText" lastClr="000000"/>
                </a:solidFill>
              </a:rPr>
              <a:t>(nombre total)</a:t>
            </a:r>
          </a:p>
          <a:p>
            <a:pPr>
              <a:defRPr sz="4000">
                <a:solidFill>
                  <a:sysClr val="windowText" lastClr="000000"/>
                </a:solidFill>
              </a:defRPr>
            </a:pPr>
            <a:endParaRPr lang="en-US" sz="4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139496218754208E-2"/>
          <c:y val="0.34341034719169755"/>
          <c:w val="0.84901231299920854"/>
          <c:h val="0.47446545622562614"/>
        </c:manualLayout>
      </c:layout>
      <c:lineChart>
        <c:grouping val="standard"/>
        <c:varyColors val="0"/>
        <c:ser>
          <c:idx val="0"/>
          <c:order val="0"/>
          <c:tx>
            <c:strRef>
              <c:f>'Tableaux de bord'!$A$142</c:f>
              <c:strCache>
                <c:ptCount val="1"/>
                <c:pt idx="0">
                  <c:v>Total Rencontres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27000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bord'!$B$141:$D$141</c:f>
              <c:strCache>
                <c:ptCount val="3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</c:strCache>
            </c:strRef>
          </c:cat>
          <c:val>
            <c:numRef>
              <c:f>'Tableaux de bord'!$B$142:$D$142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AE-48EE-8CDD-CB20A312E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727112"/>
        <c:axId val="599727768"/>
      </c:lineChart>
      <c:catAx>
        <c:axId val="59972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9727768"/>
        <c:crosses val="autoZero"/>
        <c:auto val="1"/>
        <c:lblAlgn val="ctr"/>
        <c:lblOffset val="100"/>
        <c:noMultiLvlLbl val="0"/>
      </c:catAx>
      <c:valAx>
        <c:axId val="5997277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997271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4000" b="1">
                <a:solidFill>
                  <a:sysClr val="windowText" lastClr="000000"/>
                </a:solidFill>
              </a:rPr>
              <a:t>Participations</a:t>
            </a:r>
            <a:r>
              <a:rPr lang="en-US" sz="4000" b="1" baseline="0">
                <a:solidFill>
                  <a:sysClr val="windowText" lastClr="000000"/>
                </a:solidFill>
              </a:rPr>
              <a:t> des enfants licenciés</a:t>
            </a:r>
            <a:r>
              <a:rPr lang="en-US" sz="4000" b="1">
                <a:solidFill>
                  <a:sysClr val="windowText" lastClr="000000"/>
                </a:solidFill>
              </a:rPr>
              <a:t> </a:t>
            </a:r>
          </a:p>
          <a:p>
            <a:pPr>
              <a:defRPr sz="4000">
                <a:solidFill>
                  <a:sysClr val="windowText" lastClr="000000"/>
                </a:solidFill>
              </a:defRPr>
            </a:pPr>
            <a:r>
              <a:rPr lang="en-US" sz="4000" b="0">
                <a:solidFill>
                  <a:sysClr val="windowText" lastClr="000000"/>
                </a:solidFill>
              </a:rPr>
              <a:t>(nombre total)</a:t>
            </a:r>
          </a:p>
          <a:p>
            <a:pPr>
              <a:defRPr sz="4000">
                <a:solidFill>
                  <a:sysClr val="windowText" lastClr="000000"/>
                </a:solidFill>
              </a:defRPr>
            </a:pPr>
            <a:endParaRPr lang="en-US" sz="4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6902829331402962E-2"/>
          <c:y val="0.33480599482894996"/>
          <c:w val="0.84901231299920854"/>
          <c:h val="0.47446545622562614"/>
        </c:manualLayout>
      </c:layout>
      <c:lineChart>
        <c:grouping val="standard"/>
        <c:varyColors val="0"/>
        <c:ser>
          <c:idx val="0"/>
          <c:order val="0"/>
          <c:tx>
            <c:strRef>
              <c:f>'Tableaux de bord'!$A$144</c:f>
              <c:strCache>
                <c:ptCount val="1"/>
                <c:pt idx="0">
                  <c:v>Total Participations enfants licenciés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27000">
                <a:solidFill>
                  <a:schemeClr val="accent1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bord'!$B$141:$D$141</c:f>
              <c:strCache>
                <c:ptCount val="3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</c:strCache>
            </c:strRef>
          </c:cat>
          <c:val>
            <c:numRef>
              <c:f>'Tableaux de bord'!$B$144:$D$144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77-46A2-8E6E-8E9241C391D3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9727112"/>
        <c:axId val="599727768"/>
      </c:lineChart>
      <c:catAx>
        <c:axId val="59972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9727768"/>
        <c:crosses val="autoZero"/>
        <c:auto val="1"/>
        <c:lblAlgn val="ctr"/>
        <c:lblOffset val="100"/>
        <c:noMultiLvlLbl val="0"/>
      </c:catAx>
      <c:valAx>
        <c:axId val="5997277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997271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4000" b="1">
                <a:solidFill>
                  <a:sysClr val="windowText" lastClr="000000"/>
                </a:solidFill>
              </a:rPr>
              <a:t>Répartition des rencontres Temps</a:t>
            </a:r>
            <a:r>
              <a:rPr lang="fr-FR" sz="4000" b="1" baseline="0">
                <a:solidFill>
                  <a:sysClr val="windowText" lastClr="000000"/>
                </a:solidFill>
              </a:rPr>
              <a:t> Scolaire et Hors Temps Scolaire</a:t>
            </a:r>
            <a:endParaRPr lang="fr-FR" sz="4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502304227304228"/>
          <c:y val="0.14040033784693412"/>
          <c:w val="0.80367358121476107"/>
          <c:h val="0.7615717200520881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'Tableaux de bord'!$A$156</c:f>
              <c:strCache>
                <c:ptCount val="1"/>
                <c:pt idx="0">
                  <c:v>Temps Scolaire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de bord'!$B$155:$D$155</c:f>
              <c:strCache>
                <c:ptCount val="3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</c:strCache>
            </c:strRef>
          </c:cat>
          <c:val>
            <c:numRef>
              <c:f>'Tableaux de bord'!$B$156:$D$156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6-4D99-91A4-6499062403BD}"/>
            </c:ext>
          </c:extLst>
        </c:ser>
        <c:ser>
          <c:idx val="1"/>
          <c:order val="1"/>
          <c:tx>
            <c:strRef>
              <c:f>'Tableaux de bord'!$A$157</c:f>
              <c:strCache>
                <c:ptCount val="1"/>
                <c:pt idx="0">
                  <c:v>Hors Temps Scolaire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accent2">
                  <a:lumMod val="20000"/>
                  <a:lumOff val="80000"/>
                  <a:alpha val="98000"/>
                </a:schemeClr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bord'!$B$155:$D$155</c:f>
              <c:strCache>
                <c:ptCount val="3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</c:strCache>
            </c:strRef>
          </c:cat>
          <c:val>
            <c:numRef>
              <c:f>'Tableaux de bord'!$B$157:$D$157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A6-4D99-91A4-649906240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6667032"/>
        <c:axId val="496667688"/>
      </c:barChart>
      <c:catAx>
        <c:axId val="49666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667688"/>
        <c:crosses val="autoZero"/>
        <c:auto val="1"/>
        <c:lblAlgn val="ctr"/>
        <c:lblOffset val="100"/>
        <c:noMultiLvlLbl val="0"/>
      </c:catAx>
      <c:valAx>
        <c:axId val="496667688"/>
        <c:scaling>
          <c:orientation val="minMax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9666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4000"/>
              <a:t>Répartition</a:t>
            </a:r>
            <a:r>
              <a:rPr lang="fr-FR" sz="4000" baseline="0"/>
              <a:t> des participations des enfants licenciés par cycle</a:t>
            </a:r>
          </a:p>
          <a:p>
            <a:pPr>
              <a:defRPr sz="4000" b="1">
                <a:solidFill>
                  <a:sysClr val="windowText" lastClr="000000"/>
                </a:solidFill>
              </a:defRPr>
            </a:pPr>
            <a:endParaRPr lang="fr-FR" sz="4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3455763455763452E-2"/>
          <c:y val="0.16772972222222221"/>
          <c:w val="0.88454146454146454"/>
          <c:h val="0.7042094032406408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'Tableaux de bord'!$A$161</c:f>
              <c:strCache>
                <c:ptCount val="1"/>
                <c:pt idx="0">
                  <c:v>cycle 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1220407126430308"/>
                  <c:y val="3.0998946157988375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2C-489D-96A4-ACD8203E1497}"/>
                </c:ext>
              </c:extLst>
            </c:dLbl>
            <c:dLbl>
              <c:idx val="1"/>
              <c:layout>
                <c:manualLayout>
                  <c:x val="0.12255736501782778"/>
                  <c:y val="1.6996367644303231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2C-489D-96A4-ACD8203E1497}"/>
                </c:ext>
              </c:extLst>
            </c:dLbl>
            <c:dLbl>
              <c:idx val="2"/>
              <c:layout>
                <c:manualLayout>
                  <c:x val="0.10999378789756714"/>
                  <c:y val="8.8194621461698975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2C-489D-96A4-ACD8203E149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bord'!$B$155:$D$155</c:f>
              <c:strCache>
                <c:ptCount val="3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</c:strCache>
            </c:strRef>
          </c:cat>
          <c:val>
            <c:numRef>
              <c:f>'Tableaux de bord'!$B$161:$D$161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4-4276-A8E1-9DB227B5F9CC}"/>
            </c:ext>
          </c:extLst>
        </c:ser>
        <c:ser>
          <c:idx val="1"/>
          <c:order val="1"/>
          <c:tx>
            <c:strRef>
              <c:f>'Tableaux de bord'!$A$162</c:f>
              <c:strCache>
                <c:ptCount val="1"/>
                <c:pt idx="0">
                  <c:v>cycle 2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1585115066134997"/>
                  <c:y val="2.1439016892932445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2C-489D-96A4-ACD8203E1497}"/>
                </c:ext>
              </c:extLst>
            </c:dLbl>
            <c:dLbl>
              <c:idx val="1"/>
              <c:layout>
                <c:manualLayout>
                  <c:x val="0.12691277665607648"/>
                  <c:y val="2.2375151488829997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2C-489D-96A4-ACD8203E1497}"/>
                </c:ext>
              </c:extLst>
            </c:dLbl>
            <c:dLbl>
              <c:idx val="2"/>
              <c:layout>
                <c:manualLayout>
                  <c:x val="0.11001885196148668"/>
                  <c:y val="-8.6594445161465639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2C-489D-96A4-ACD8203E149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rgbClr val="FF99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bord'!$B$155:$D$155</c:f>
              <c:strCache>
                <c:ptCount val="3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</c:strCache>
            </c:strRef>
          </c:cat>
          <c:val>
            <c:numRef>
              <c:f>'Tableaux de bord'!$B$162:$D$162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04-4276-A8E1-9DB227B5F9CC}"/>
            </c:ext>
          </c:extLst>
        </c:ser>
        <c:ser>
          <c:idx val="2"/>
          <c:order val="2"/>
          <c:tx>
            <c:strRef>
              <c:f>'Tableaux de bord'!$A$163</c:f>
              <c:strCache>
                <c:ptCount val="1"/>
                <c:pt idx="0">
                  <c:v>cycle 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1145559063696041"/>
                  <c:y val="-2.728602150009584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2C-489D-96A4-ACD8203E1497}"/>
                </c:ext>
              </c:extLst>
            </c:dLbl>
            <c:dLbl>
              <c:idx val="1"/>
              <c:layout>
                <c:manualLayout>
                  <c:x val="0.12763114599381326"/>
                  <c:y val="-1.0768463681891029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2C-489D-96A4-ACD8203E1497}"/>
                </c:ext>
              </c:extLst>
            </c:dLbl>
            <c:dLbl>
              <c:idx val="2"/>
              <c:layout>
                <c:manualLayout>
                  <c:x val="0.10783867988435637"/>
                  <c:y val="-0.10134807985749887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2C-489D-96A4-ACD8203E149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bord'!$B$155:$D$155</c:f>
              <c:strCache>
                <c:ptCount val="3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</c:strCache>
            </c:strRef>
          </c:cat>
          <c:val>
            <c:numRef>
              <c:f>'Tableaux de bord'!$B$163:$D$163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04-4276-A8E1-9DB227B5F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6667032"/>
        <c:axId val="496667688"/>
      </c:barChart>
      <c:catAx>
        <c:axId val="49666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667688"/>
        <c:crosses val="autoZero"/>
        <c:auto val="1"/>
        <c:lblAlgn val="ctr"/>
        <c:lblOffset val="100"/>
        <c:noMultiLvlLbl val="0"/>
      </c:catAx>
      <c:valAx>
        <c:axId val="4966676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9666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Taux d'implantation (écoles)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84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1.3199168556311414E-2"/>
          <c:y val="7.975833933714005E-2"/>
          <c:w val="0.97360166288737715"/>
          <c:h val="0.77557859304197718"/>
        </c:manualLayout>
      </c:layout>
      <c:barChart>
        <c:barDir val="col"/>
        <c:grouping val="clustered"/>
        <c:varyColors val="0"/>
        <c:ser>
          <c:idx val="1"/>
          <c:order val="1"/>
          <c:tx>
            <c:v>Moyenne nationale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'Tableaux de bord'!$D$17:$H$17</c:f>
              <c:numCache>
                <c:formatCode>0.0%</c:formatCode>
                <c:ptCount val="5"/>
                <c:pt idx="0">
                  <c:v>0.2342260553790286</c:v>
                </c:pt>
                <c:pt idx="1">
                  <c:v>0.23412759080088236</c:v>
                </c:pt>
                <c:pt idx="2">
                  <c:v>0.21915638732127324</c:v>
                </c:pt>
                <c:pt idx="3">
                  <c:v>0.21828815656281633</c:v>
                </c:pt>
                <c:pt idx="4">
                  <c:v>0.15954995255523927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92-4370-9830-C38B3E8F52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0"/>
        <c:axId val="599727112"/>
        <c:axId val="599727768"/>
      </c:barChart>
      <c:lineChart>
        <c:grouping val="standard"/>
        <c:varyColors val="0"/>
        <c:ser>
          <c:idx val="0"/>
          <c:order val="0"/>
          <c:tx>
            <c:strRef>
              <c:f>'Tableaux de bord'!$A$16</c:f>
              <c:strCache>
                <c:ptCount val="1"/>
                <c:pt idx="0">
                  <c:v>Taux d'implantation</c:v>
                </c:pt>
              </c:strCache>
            </c:strRef>
          </c:tx>
          <c:spPr>
            <a:ln w="101600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bord'!$D$5:$H$5</c:f>
              <c:strCache>
                <c:ptCount val="5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</c:strCache>
            </c:strRef>
          </c:cat>
          <c:val>
            <c:numRef>
              <c:f>'Tableaux de bord'!$D$16:$H$16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92-4370-9830-C38B3E8F5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727112"/>
        <c:axId val="599727768"/>
      </c:lineChart>
      <c:catAx>
        <c:axId val="599727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9727768"/>
        <c:crosses val="autoZero"/>
        <c:auto val="1"/>
        <c:lblAlgn val="ctr"/>
        <c:lblOffset val="100"/>
        <c:noMultiLvlLbl val="0"/>
      </c:catAx>
      <c:valAx>
        <c:axId val="5997277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crossAx val="599727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>
          <a:alpha val="99000"/>
        </a:sysClr>
      </a:solidFill>
      <a:round/>
    </a:ln>
    <a:effectLst/>
  </c:spPr>
  <c:txPr>
    <a:bodyPr/>
    <a:lstStyle/>
    <a:p>
      <a:pPr>
        <a:defRPr sz="320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384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Taux d'implantation (enfants</a:t>
            </a:r>
            <a:r>
              <a:rPr lang="en-US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384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0546684241257441E-3"/>
          <c:y val="7.3500291954899835E-2"/>
          <c:w val="0.98389066315174856"/>
          <c:h val="0.77040185796576033"/>
        </c:manualLayout>
      </c:layout>
      <c:barChart>
        <c:barDir val="col"/>
        <c:grouping val="clustered"/>
        <c:varyColors val="0"/>
        <c:ser>
          <c:idx val="1"/>
          <c:order val="1"/>
          <c:tx>
            <c:v>Moyenne nationale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3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'Tableaux de bord'!$D$23:$H$23</c:f>
              <c:numCache>
                <c:formatCode>0.0%</c:formatCode>
                <c:ptCount val="5"/>
                <c:pt idx="0">
                  <c:v>0.12404582534358045</c:v>
                </c:pt>
                <c:pt idx="1">
                  <c:v>0.12398080270564346</c:v>
                </c:pt>
                <c:pt idx="2">
                  <c:v>0.12173812811463387</c:v>
                </c:pt>
                <c:pt idx="3">
                  <c:v>0.11884789989593887</c:v>
                </c:pt>
                <c:pt idx="4">
                  <c:v>7.5651986455414807E-2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6-4183-A9DC-3AF77FB5E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99727112"/>
        <c:axId val="599727768"/>
      </c:barChart>
      <c:lineChart>
        <c:grouping val="standard"/>
        <c:varyColors val="0"/>
        <c:ser>
          <c:idx val="0"/>
          <c:order val="0"/>
          <c:tx>
            <c:strRef>
              <c:f>'Tableaux de bord'!$A$22</c:f>
              <c:strCache>
                <c:ptCount val="1"/>
                <c:pt idx="0">
                  <c:v>Taux d'implantation</c:v>
                </c:pt>
              </c:strCache>
            </c:strRef>
          </c:tx>
          <c:spPr>
            <a:ln w="101600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4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bord'!$D$5:$H$5</c:f>
              <c:strCache>
                <c:ptCount val="5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</c:strCache>
            </c:strRef>
          </c:cat>
          <c:val>
            <c:numRef>
              <c:f>'Tableaux de bord'!$D$22:$H$22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6-4183-A9DC-3AF77FB5E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727112"/>
        <c:axId val="599727768"/>
      </c:lineChart>
      <c:catAx>
        <c:axId val="599727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32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9727768"/>
        <c:crosses val="autoZero"/>
        <c:auto val="1"/>
        <c:lblAlgn val="ctr"/>
        <c:lblOffset val="100"/>
        <c:noMultiLvlLbl val="0"/>
      </c:catAx>
      <c:valAx>
        <c:axId val="5997277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crossAx val="599727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32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>
          <a:alpha val="99000"/>
        </a:sysClr>
      </a:solidFill>
      <a:round/>
    </a:ln>
    <a:effectLst/>
  </c:spPr>
  <c:txPr>
    <a:bodyPr/>
    <a:lstStyle/>
    <a:p>
      <a:pPr>
        <a:defRPr lang="en-US" sz="3200" b="0" i="0" u="none" strike="noStrike" kern="1200" baseline="0">
          <a:solidFill>
            <a:schemeClr val="tx2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8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Produire une performance optimale, mesurable à une échéance donnée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8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'Tableaux de bord'!$B$227:$B$228</c:f>
              <c:strCache>
                <c:ptCount val="2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bord'!$A$229:$A$232</c:f>
              <c:strCache>
                <c:ptCount val="4"/>
                <c:pt idx="0">
                  <c:v>Athlétisme (courses, sauts, lancers, marche) </c:v>
                </c:pt>
                <c:pt idx="1">
                  <c:v>Cross, course longue, endurance... </c:v>
                </c:pt>
                <c:pt idx="2">
                  <c:v>Natation</c:v>
                </c:pt>
                <c:pt idx="3">
                  <c:v>Triathlon, parcours d'activités enchaînées</c:v>
                </c:pt>
              </c:strCache>
            </c:strRef>
          </c:cat>
          <c:val>
            <c:numRef>
              <c:f>'Tableaux de bord'!$B$229:$B$232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3-4730-B596-45358981BE48}"/>
            </c:ext>
          </c:extLst>
        </c:ser>
        <c:ser>
          <c:idx val="1"/>
          <c:order val="1"/>
          <c:tx>
            <c:strRef>
              <c:f>'Tableaux de bord'!$C$227:$C$228</c:f>
              <c:strCache>
                <c:ptCount val="2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bord'!$A$229:$A$232</c:f>
              <c:strCache>
                <c:ptCount val="4"/>
                <c:pt idx="0">
                  <c:v>Athlétisme (courses, sauts, lancers, marche) </c:v>
                </c:pt>
                <c:pt idx="1">
                  <c:v>Cross, course longue, endurance... </c:v>
                </c:pt>
                <c:pt idx="2">
                  <c:v>Natation</c:v>
                </c:pt>
                <c:pt idx="3">
                  <c:v>Triathlon, parcours d'activités enchaînées</c:v>
                </c:pt>
              </c:strCache>
            </c:strRef>
          </c:cat>
          <c:val>
            <c:numRef>
              <c:f>'Tableaux de bord'!$C$229:$C$232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13-4730-B596-45358981BE48}"/>
            </c:ext>
          </c:extLst>
        </c:ser>
        <c:ser>
          <c:idx val="2"/>
          <c:order val="2"/>
          <c:tx>
            <c:strRef>
              <c:f>'Tableaux de bord'!$D$227:$D$228</c:f>
              <c:strCache>
                <c:ptCount val="2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bord'!$A$229:$A$232</c:f>
              <c:strCache>
                <c:ptCount val="4"/>
                <c:pt idx="0">
                  <c:v>Athlétisme (courses, sauts, lancers, marche) </c:v>
                </c:pt>
                <c:pt idx="1">
                  <c:v>Cross, course longue, endurance... </c:v>
                </c:pt>
                <c:pt idx="2">
                  <c:v>Natation</c:v>
                </c:pt>
                <c:pt idx="3">
                  <c:v>Triathlon, parcours d'activités enchaînées</c:v>
                </c:pt>
              </c:strCache>
            </c:strRef>
          </c:cat>
          <c:val>
            <c:numRef>
              <c:f>'Tableaux de bord'!$D$229:$D$232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13-4730-B596-45358981BE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057391871"/>
        <c:axId val="2057382719"/>
      </c:barChart>
      <c:catAx>
        <c:axId val="20573918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7382719"/>
        <c:crosses val="autoZero"/>
        <c:auto val="1"/>
        <c:lblAlgn val="ctr"/>
        <c:lblOffset val="100"/>
        <c:noMultiLvlLbl val="0"/>
      </c:catAx>
      <c:valAx>
        <c:axId val="20573827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7391871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8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Adapter ses déplacements à des environnements variés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8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'Tableaux de bord'!$B$227:$B$228</c:f>
              <c:strCache>
                <c:ptCount val="2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bord'!$A$235:$A$248</c:f>
              <c:strCache>
                <c:ptCount val="14"/>
                <c:pt idx="0">
                  <c:v>Aviron</c:v>
                </c:pt>
                <c:pt idx="1">
                  <c:v>Canoë-Kayak</c:v>
                </c:pt>
                <c:pt idx="2">
                  <c:v>Course et activités d'orientation </c:v>
                </c:pt>
                <c:pt idx="3">
                  <c:v>Engins roulants (maternelle et C2)</c:v>
                </c:pt>
                <c:pt idx="4">
                  <c:v>Escalade</c:v>
                </c:pt>
                <c:pt idx="5">
                  <c:v>Patinage à roulettes, Rollers</c:v>
                </c:pt>
                <c:pt idx="6">
                  <c:v>Patinage sur glace </c:v>
                </c:pt>
                <c:pt idx="7">
                  <c:v>Patinette, Planche à roulettes… </c:v>
                </c:pt>
                <c:pt idx="8">
                  <c:v>Randonnée cycliste, cyclisme, VTT</c:v>
                </c:pt>
                <c:pt idx="9">
                  <c:v>Randonnée équestre, équitation</c:v>
                </c:pt>
                <c:pt idx="10">
                  <c:v>Randonnée pédestre</c:v>
                </c:pt>
                <c:pt idx="11">
                  <c:v>Ski alpin</c:v>
                </c:pt>
                <c:pt idx="12">
                  <c:v>Ski de fond</c:v>
                </c:pt>
                <c:pt idx="13">
                  <c:v>Voile</c:v>
                </c:pt>
              </c:strCache>
            </c:strRef>
          </c:cat>
          <c:val>
            <c:numRef>
              <c:f>'Tableaux de bord'!$B$235:$B$248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EB-48C5-8C20-749CFC447A53}"/>
            </c:ext>
          </c:extLst>
        </c:ser>
        <c:ser>
          <c:idx val="1"/>
          <c:order val="1"/>
          <c:tx>
            <c:strRef>
              <c:f>'Tableaux de bord'!$C$227:$C$228</c:f>
              <c:strCache>
                <c:ptCount val="2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bord'!$A$235:$A$248</c:f>
              <c:strCache>
                <c:ptCount val="14"/>
                <c:pt idx="0">
                  <c:v>Aviron</c:v>
                </c:pt>
                <c:pt idx="1">
                  <c:v>Canoë-Kayak</c:v>
                </c:pt>
                <c:pt idx="2">
                  <c:v>Course et activités d'orientation </c:v>
                </c:pt>
                <c:pt idx="3">
                  <c:v>Engins roulants (maternelle et C2)</c:v>
                </c:pt>
                <c:pt idx="4">
                  <c:v>Escalade</c:v>
                </c:pt>
                <c:pt idx="5">
                  <c:v>Patinage à roulettes, Rollers</c:v>
                </c:pt>
                <c:pt idx="6">
                  <c:v>Patinage sur glace </c:v>
                </c:pt>
                <c:pt idx="7">
                  <c:v>Patinette, Planche à roulettes… </c:v>
                </c:pt>
                <c:pt idx="8">
                  <c:v>Randonnée cycliste, cyclisme, VTT</c:v>
                </c:pt>
                <c:pt idx="9">
                  <c:v>Randonnée équestre, équitation</c:v>
                </c:pt>
                <c:pt idx="10">
                  <c:v>Randonnée pédestre</c:v>
                </c:pt>
                <c:pt idx="11">
                  <c:v>Ski alpin</c:v>
                </c:pt>
                <c:pt idx="12">
                  <c:v>Ski de fond</c:v>
                </c:pt>
                <c:pt idx="13">
                  <c:v>Voile</c:v>
                </c:pt>
              </c:strCache>
            </c:strRef>
          </c:cat>
          <c:val>
            <c:numRef>
              <c:f>'Tableaux de bord'!$C$235:$C$248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EB-48C5-8C20-749CFC447A53}"/>
            </c:ext>
          </c:extLst>
        </c:ser>
        <c:ser>
          <c:idx val="2"/>
          <c:order val="2"/>
          <c:tx>
            <c:strRef>
              <c:f>'Tableaux de bord'!$D$227:$D$228</c:f>
              <c:strCache>
                <c:ptCount val="2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bord'!$A$235:$A$248</c:f>
              <c:strCache>
                <c:ptCount val="14"/>
                <c:pt idx="0">
                  <c:v>Aviron</c:v>
                </c:pt>
                <c:pt idx="1">
                  <c:v>Canoë-Kayak</c:v>
                </c:pt>
                <c:pt idx="2">
                  <c:v>Course et activités d'orientation </c:v>
                </c:pt>
                <c:pt idx="3">
                  <c:v>Engins roulants (maternelle et C2)</c:v>
                </c:pt>
                <c:pt idx="4">
                  <c:v>Escalade</c:v>
                </c:pt>
                <c:pt idx="5">
                  <c:v>Patinage à roulettes, Rollers</c:v>
                </c:pt>
                <c:pt idx="6">
                  <c:v>Patinage sur glace </c:v>
                </c:pt>
                <c:pt idx="7">
                  <c:v>Patinette, Planche à roulettes… </c:v>
                </c:pt>
                <c:pt idx="8">
                  <c:v>Randonnée cycliste, cyclisme, VTT</c:v>
                </c:pt>
                <c:pt idx="9">
                  <c:v>Randonnée équestre, équitation</c:v>
                </c:pt>
                <c:pt idx="10">
                  <c:v>Randonnée pédestre</c:v>
                </c:pt>
                <c:pt idx="11">
                  <c:v>Ski alpin</c:v>
                </c:pt>
                <c:pt idx="12">
                  <c:v>Ski de fond</c:v>
                </c:pt>
                <c:pt idx="13">
                  <c:v>Voile</c:v>
                </c:pt>
              </c:strCache>
            </c:strRef>
          </c:cat>
          <c:val>
            <c:numRef>
              <c:f>'Tableaux de bord'!$D$235:$D$248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EB-48C5-8C20-749CFC447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057391871"/>
        <c:axId val="2057382719"/>
      </c:barChart>
      <c:catAx>
        <c:axId val="20573918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7382719"/>
        <c:crosses val="autoZero"/>
        <c:auto val="1"/>
        <c:lblAlgn val="ctr"/>
        <c:lblOffset val="100"/>
        <c:noMultiLvlLbl val="0"/>
      </c:catAx>
      <c:valAx>
        <c:axId val="20573827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7391871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8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S’exprimer devant les autres par une prestation artistique et/ou acrobatique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8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'Tableaux de bord'!$B$227:$B$228</c:f>
              <c:strCache>
                <c:ptCount val="2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bord'!$A$251:$A$255</c:f>
              <c:strCache>
                <c:ptCount val="5"/>
                <c:pt idx="0">
                  <c:v>Acrosport</c:v>
                </c:pt>
                <c:pt idx="1">
                  <c:v>Arts du cirque</c:v>
                </c:pt>
                <c:pt idx="2">
                  <c:v>Danse</c:v>
                </c:pt>
                <c:pt idx="3">
                  <c:v>Gymnastique, Trampoline</c:v>
                </c:pt>
                <c:pt idx="4">
                  <c:v>GRS</c:v>
                </c:pt>
              </c:strCache>
            </c:strRef>
          </c:cat>
          <c:val>
            <c:numRef>
              <c:f>'Tableaux de bord'!$B$251:$B$255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4-470E-BB9E-846E3CC7782E}"/>
            </c:ext>
          </c:extLst>
        </c:ser>
        <c:ser>
          <c:idx val="1"/>
          <c:order val="1"/>
          <c:tx>
            <c:strRef>
              <c:f>'Tableaux de bord'!$C$227:$C$228</c:f>
              <c:strCache>
                <c:ptCount val="2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bord'!$A$251:$A$255</c:f>
              <c:strCache>
                <c:ptCount val="5"/>
                <c:pt idx="0">
                  <c:v>Acrosport</c:v>
                </c:pt>
                <c:pt idx="1">
                  <c:v>Arts du cirque</c:v>
                </c:pt>
                <c:pt idx="2">
                  <c:v>Danse</c:v>
                </c:pt>
                <c:pt idx="3">
                  <c:v>Gymnastique, Trampoline</c:v>
                </c:pt>
                <c:pt idx="4">
                  <c:v>GRS</c:v>
                </c:pt>
              </c:strCache>
            </c:strRef>
          </c:cat>
          <c:val>
            <c:numRef>
              <c:f>'Tableaux de bord'!$C$251:$C$255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C4-470E-BB9E-846E3CC7782E}"/>
            </c:ext>
          </c:extLst>
        </c:ser>
        <c:ser>
          <c:idx val="2"/>
          <c:order val="2"/>
          <c:tx>
            <c:strRef>
              <c:f>'Tableaux de bord'!$D$227:$D$228</c:f>
              <c:strCache>
                <c:ptCount val="2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bord'!$A$251:$A$255</c:f>
              <c:strCache>
                <c:ptCount val="5"/>
                <c:pt idx="0">
                  <c:v>Acrosport</c:v>
                </c:pt>
                <c:pt idx="1">
                  <c:v>Arts du cirque</c:v>
                </c:pt>
                <c:pt idx="2">
                  <c:v>Danse</c:v>
                </c:pt>
                <c:pt idx="3">
                  <c:v>Gymnastique, Trampoline</c:v>
                </c:pt>
                <c:pt idx="4">
                  <c:v>GRS</c:v>
                </c:pt>
              </c:strCache>
            </c:strRef>
          </c:cat>
          <c:val>
            <c:numRef>
              <c:f>'Tableaux de bord'!$D$251:$D$255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C4-470E-BB9E-846E3CC778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057391871"/>
        <c:axId val="2057382719"/>
      </c:barChart>
      <c:catAx>
        <c:axId val="20573918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7382719"/>
        <c:crosses val="autoZero"/>
        <c:auto val="1"/>
        <c:lblAlgn val="ctr"/>
        <c:lblOffset val="100"/>
        <c:noMultiLvlLbl val="0"/>
      </c:catAx>
      <c:valAx>
        <c:axId val="20573827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7391871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3200"/>
              <a:t>Conduire et maitriser un affrontement collectif ou interindividuel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'Tableaux de bord'!$B$227:$B$228</c:f>
              <c:strCache>
                <c:ptCount val="2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bord'!$A$258:$A$288</c:f>
              <c:strCache>
                <c:ptCount val="31"/>
                <c:pt idx="0">
                  <c:v>Badminton</c:v>
                </c:pt>
                <c:pt idx="1">
                  <c:v>Base-Ball</c:v>
                </c:pt>
                <c:pt idx="2">
                  <c:v>Basket-Ball</c:v>
                </c:pt>
                <c:pt idx="3">
                  <c:v>Boxe</c:v>
                </c:pt>
                <c:pt idx="4">
                  <c:v>Cricket</c:v>
                </c:pt>
                <c:pt idx="5">
                  <c:v>Crosse québécoise, Intercrosse</c:v>
                </c:pt>
                <c:pt idx="6">
                  <c:v>Échecs</c:v>
                </c:pt>
                <c:pt idx="7">
                  <c:v>Escrime</c:v>
                </c:pt>
                <c:pt idx="8">
                  <c:v>Football</c:v>
                </c:pt>
                <c:pt idx="9">
                  <c:v>Golf</c:v>
                </c:pt>
                <c:pt idx="10">
                  <c:v>Handball</c:v>
                </c:pt>
                <c:pt idx="11">
                  <c:v>Hockey</c:v>
                </c:pt>
                <c:pt idx="12">
                  <c:v>Hockey sur glace</c:v>
                </c:pt>
                <c:pt idx="13">
                  <c:v>Jeux collectifs</c:v>
                </c:pt>
                <c:pt idx="14">
                  <c:v>Jeux d'opposition</c:v>
                </c:pt>
                <c:pt idx="15">
                  <c:v>Jeux du patrimoine (traditionnels...)</c:v>
                </c:pt>
                <c:pt idx="16">
                  <c:v>Judo, Aïkido, Karaté</c:v>
                </c:pt>
                <c:pt idx="17">
                  <c:v>Kinball </c:v>
                </c:pt>
                <c:pt idx="18">
                  <c:v>Korfbal</c:v>
                </c:pt>
                <c:pt idx="19">
                  <c:v>Lutte</c:v>
                </c:pt>
                <c:pt idx="20">
                  <c:v>Pelote basque</c:v>
                </c:pt>
                <c:pt idx="21">
                  <c:v>Pétanque</c:v>
                </c:pt>
                <c:pt idx="22">
                  <c:v>Peteca</c:v>
                </c:pt>
                <c:pt idx="23">
                  <c:v>Rugby, balle ovale</c:v>
                </c:pt>
                <c:pt idx="24">
                  <c:v>Sport Boules</c:v>
                </c:pt>
                <c:pt idx="25">
                  <c:v>Tchoukball</c:v>
                </c:pt>
                <c:pt idx="26">
                  <c:v>Tennis</c:v>
                </c:pt>
                <c:pt idx="27">
                  <c:v>Tennis de table</c:v>
                </c:pt>
                <c:pt idx="28">
                  <c:v>Tir à l'arc </c:v>
                </c:pt>
                <c:pt idx="29">
                  <c:v>Flying disc</c:v>
                </c:pt>
                <c:pt idx="30">
                  <c:v>Volley-Ball</c:v>
                </c:pt>
              </c:strCache>
            </c:strRef>
          </c:cat>
          <c:val>
            <c:numRef>
              <c:f>'Tableaux de bord'!$B$258:$B$288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8-4461-B458-A89415A61E10}"/>
            </c:ext>
          </c:extLst>
        </c:ser>
        <c:ser>
          <c:idx val="1"/>
          <c:order val="1"/>
          <c:tx>
            <c:strRef>
              <c:f>'Tableaux de bord'!$C$227:$C$228</c:f>
              <c:strCache>
                <c:ptCount val="2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bord'!$A$258:$A$288</c:f>
              <c:strCache>
                <c:ptCount val="31"/>
                <c:pt idx="0">
                  <c:v>Badminton</c:v>
                </c:pt>
                <c:pt idx="1">
                  <c:v>Base-Ball</c:v>
                </c:pt>
                <c:pt idx="2">
                  <c:v>Basket-Ball</c:v>
                </c:pt>
                <c:pt idx="3">
                  <c:v>Boxe</c:v>
                </c:pt>
                <c:pt idx="4">
                  <c:v>Cricket</c:v>
                </c:pt>
                <c:pt idx="5">
                  <c:v>Crosse québécoise, Intercrosse</c:v>
                </c:pt>
                <c:pt idx="6">
                  <c:v>Échecs</c:v>
                </c:pt>
                <c:pt idx="7">
                  <c:v>Escrime</c:v>
                </c:pt>
                <c:pt idx="8">
                  <c:v>Football</c:v>
                </c:pt>
                <c:pt idx="9">
                  <c:v>Golf</c:v>
                </c:pt>
                <c:pt idx="10">
                  <c:v>Handball</c:v>
                </c:pt>
                <c:pt idx="11">
                  <c:v>Hockey</c:v>
                </c:pt>
                <c:pt idx="12">
                  <c:v>Hockey sur glace</c:v>
                </c:pt>
                <c:pt idx="13">
                  <c:v>Jeux collectifs</c:v>
                </c:pt>
                <c:pt idx="14">
                  <c:v>Jeux d'opposition</c:v>
                </c:pt>
                <c:pt idx="15">
                  <c:v>Jeux du patrimoine (traditionnels...)</c:v>
                </c:pt>
                <c:pt idx="16">
                  <c:v>Judo, Aïkido, Karaté</c:v>
                </c:pt>
                <c:pt idx="17">
                  <c:v>Kinball </c:v>
                </c:pt>
                <c:pt idx="18">
                  <c:v>Korfbal</c:v>
                </c:pt>
                <c:pt idx="19">
                  <c:v>Lutte</c:v>
                </c:pt>
                <c:pt idx="20">
                  <c:v>Pelote basque</c:v>
                </c:pt>
                <c:pt idx="21">
                  <c:v>Pétanque</c:v>
                </c:pt>
                <c:pt idx="22">
                  <c:v>Peteca</c:v>
                </c:pt>
                <c:pt idx="23">
                  <c:v>Rugby, balle ovale</c:v>
                </c:pt>
                <c:pt idx="24">
                  <c:v>Sport Boules</c:v>
                </c:pt>
                <c:pt idx="25">
                  <c:v>Tchoukball</c:v>
                </c:pt>
                <c:pt idx="26">
                  <c:v>Tennis</c:v>
                </c:pt>
                <c:pt idx="27">
                  <c:v>Tennis de table</c:v>
                </c:pt>
                <c:pt idx="28">
                  <c:v>Tir à l'arc </c:v>
                </c:pt>
                <c:pt idx="29">
                  <c:v>Flying disc</c:v>
                </c:pt>
                <c:pt idx="30">
                  <c:v>Volley-Ball</c:v>
                </c:pt>
              </c:strCache>
            </c:strRef>
          </c:cat>
          <c:val>
            <c:numRef>
              <c:f>'Tableaux de bord'!$C$258:$C$288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8-4461-B458-A89415A61E10}"/>
            </c:ext>
          </c:extLst>
        </c:ser>
        <c:ser>
          <c:idx val="2"/>
          <c:order val="2"/>
          <c:tx>
            <c:strRef>
              <c:f>'Tableaux de bord'!$D$227:$D$228</c:f>
              <c:strCache>
                <c:ptCount val="2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bord'!$A$258:$A$288</c:f>
              <c:strCache>
                <c:ptCount val="31"/>
                <c:pt idx="0">
                  <c:v>Badminton</c:v>
                </c:pt>
                <c:pt idx="1">
                  <c:v>Base-Ball</c:v>
                </c:pt>
                <c:pt idx="2">
                  <c:v>Basket-Ball</c:v>
                </c:pt>
                <c:pt idx="3">
                  <c:v>Boxe</c:v>
                </c:pt>
                <c:pt idx="4">
                  <c:v>Cricket</c:v>
                </c:pt>
                <c:pt idx="5">
                  <c:v>Crosse québécoise, Intercrosse</c:v>
                </c:pt>
                <c:pt idx="6">
                  <c:v>Échecs</c:v>
                </c:pt>
                <c:pt idx="7">
                  <c:v>Escrime</c:v>
                </c:pt>
                <c:pt idx="8">
                  <c:v>Football</c:v>
                </c:pt>
                <c:pt idx="9">
                  <c:v>Golf</c:v>
                </c:pt>
                <c:pt idx="10">
                  <c:v>Handball</c:v>
                </c:pt>
                <c:pt idx="11">
                  <c:v>Hockey</c:v>
                </c:pt>
                <c:pt idx="12">
                  <c:v>Hockey sur glace</c:v>
                </c:pt>
                <c:pt idx="13">
                  <c:v>Jeux collectifs</c:v>
                </c:pt>
                <c:pt idx="14">
                  <c:v>Jeux d'opposition</c:v>
                </c:pt>
                <c:pt idx="15">
                  <c:v>Jeux du patrimoine (traditionnels...)</c:v>
                </c:pt>
                <c:pt idx="16">
                  <c:v>Judo, Aïkido, Karaté</c:v>
                </c:pt>
                <c:pt idx="17">
                  <c:v>Kinball </c:v>
                </c:pt>
                <c:pt idx="18">
                  <c:v>Korfbal</c:v>
                </c:pt>
                <c:pt idx="19">
                  <c:v>Lutte</c:v>
                </c:pt>
                <c:pt idx="20">
                  <c:v>Pelote basque</c:v>
                </c:pt>
                <c:pt idx="21">
                  <c:v>Pétanque</c:v>
                </c:pt>
                <c:pt idx="22">
                  <c:v>Peteca</c:v>
                </c:pt>
                <c:pt idx="23">
                  <c:v>Rugby, balle ovale</c:v>
                </c:pt>
                <c:pt idx="24">
                  <c:v>Sport Boules</c:v>
                </c:pt>
                <c:pt idx="25">
                  <c:v>Tchoukball</c:v>
                </c:pt>
                <c:pt idx="26">
                  <c:v>Tennis</c:v>
                </c:pt>
                <c:pt idx="27">
                  <c:v>Tennis de table</c:v>
                </c:pt>
                <c:pt idx="28">
                  <c:v>Tir à l'arc </c:v>
                </c:pt>
                <c:pt idx="29">
                  <c:v>Flying disc</c:v>
                </c:pt>
                <c:pt idx="30">
                  <c:v>Volley-Ball</c:v>
                </c:pt>
              </c:strCache>
            </c:strRef>
          </c:cat>
          <c:val>
            <c:numRef>
              <c:f>'Tableaux de bord'!$D$258:$D$288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58-4461-B458-A89415A61E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057391871"/>
        <c:axId val="2057382719"/>
      </c:barChart>
      <c:catAx>
        <c:axId val="20573918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7382719"/>
        <c:crosses val="autoZero"/>
        <c:auto val="1"/>
        <c:lblAlgn val="ctr"/>
        <c:lblOffset val="100"/>
        <c:noMultiLvlLbl val="0"/>
      </c:catAx>
      <c:valAx>
        <c:axId val="20573827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7391871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52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Circonscriptions et implication des CPC dans l'USEP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2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'Tableaux de bord'!$A$309</c:f>
              <c:strCache>
                <c:ptCount val="1"/>
                <c:pt idx="0">
                  <c:v>Moyenne nationale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de bord'!$B$305:$D$305</c:f>
              <c:strCache>
                <c:ptCount val="3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</c:strCache>
            </c:strRef>
          </c:cat>
          <c:val>
            <c:numRef>
              <c:f>'Tableaux de bord'!$B$309:$D$309</c:f>
              <c:numCache>
                <c:formatCode>0%</c:formatCode>
                <c:ptCount val="3"/>
                <c:pt idx="0">
                  <c:v>0.44514106583072099</c:v>
                </c:pt>
                <c:pt idx="1">
                  <c:v>0.41713370696557245</c:v>
                </c:pt>
                <c:pt idx="2">
                  <c:v>0.42768273716951788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3D-46C1-8080-3967A2672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712885711"/>
        <c:axId val="1712889455"/>
      </c:barChart>
      <c:lineChart>
        <c:grouping val="standard"/>
        <c:varyColors val="0"/>
        <c:ser>
          <c:idx val="0"/>
          <c:order val="0"/>
          <c:tx>
            <c:strRef>
              <c:f>'Tableaux de bord'!$A$308</c:f>
              <c:strCache>
                <c:ptCount val="1"/>
                <c:pt idx="0">
                  <c:v>Taux d'implication des CPC</c:v>
                </c:pt>
              </c:strCache>
            </c:strRef>
          </c:tx>
          <c:spPr>
            <a:ln w="1016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bord'!$B$305:$D$305</c:f>
              <c:strCache>
                <c:ptCount val="3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</c:strCache>
            </c:strRef>
          </c:cat>
          <c:val>
            <c:numRef>
              <c:f>'Tableaux de bord'!$B$308:$D$308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D-46C1-8080-3967A2672F9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12885711"/>
        <c:axId val="1712889455"/>
      </c:lineChart>
      <c:catAx>
        <c:axId val="1712885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2889455"/>
        <c:crossesAt val="0"/>
        <c:auto val="1"/>
        <c:lblAlgn val="ctr"/>
        <c:lblOffset val="100"/>
        <c:noMultiLvlLbl val="0"/>
      </c:catAx>
      <c:valAx>
        <c:axId val="171288945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2885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44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chemeClr val="accent4"/>
                </a:solidFill>
              </a:rPr>
              <a:t>Tarif de la licence élémentaire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84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'Tableaux de bord'!$C$71</c:f>
              <c:strCache>
                <c:ptCount val="1"/>
                <c:pt idx="0">
                  <c:v>Moyenne nationale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bord'!$D$69:$F$69</c:f>
              <c:strCache>
                <c:ptCount val="3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</c:strCache>
            </c:strRef>
          </c:cat>
          <c:val>
            <c:numRef>
              <c:f>'Tableaux de bord'!$D$71:$F$71</c:f>
              <c:numCache>
                <c:formatCode>#\ ##0.00\ "€"</c:formatCode>
                <c:ptCount val="3"/>
                <c:pt idx="0">
                  <c:v>6.2330097087378622</c:v>
                </c:pt>
                <c:pt idx="1">
                  <c:v>6.2107766990291253</c:v>
                </c:pt>
                <c:pt idx="2">
                  <c:v>6.117961165048543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5-466D-9706-7B97C977D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330528079"/>
        <c:axId val="330530159"/>
      </c:barChart>
      <c:lineChart>
        <c:grouping val="standard"/>
        <c:varyColors val="0"/>
        <c:ser>
          <c:idx val="0"/>
          <c:order val="0"/>
          <c:tx>
            <c:strRef>
              <c:f>'Tableaux de bord'!$C$70</c:f>
              <c:strCache>
                <c:ptCount val="1"/>
                <c:pt idx="0">
                  <c:v>Tarif du Comité départemental</c:v>
                </c:pt>
              </c:strCache>
            </c:strRef>
          </c:tx>
          <c:spPr>
            <a:ln w="101600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1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bord'!$D$69:$F$69</c:f>
              <c:strCache>
                <c:ptCount val="3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</c:strCache>
            </c:strRef>
          </c:cat>
          <c:val>
            <c:numRef>
              <c:f>'Tableaux de bord'!$D$70:$F$70</c:f>
              <c:numCache>
                <c:formatCode>#\ ##0.00\ "€"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65-466D-9706-7B97C977D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528079"/>
        <c:axId val="330530159"/>
      </c:lineChart>
      <c:catAx>
        <c:axId val="330528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0530159"/>
        <c:crosses val="autoZero"/>
        <c:auto val="1"/>
        <c:lblAlgn val="ctr"/>
        <c:lblOffset val="100"/>
        <c:noMultiLvlLbl val="0"/>
      </c:catAx>
      <c:valAx>
        <c:axId val="33053015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0528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alpha val="99000"/>
        </a:schemeClr>
      </a:solidFill>
      <a:round/>
    </a:ln>
    <a:effectLst/>
  </c:spPr>
  <c:txPr>
    <a:bodyPr/>
    <a:lstStyle/>
    <a:p>
      <a:pPr>
        <a:defRPr sz="32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rgbClr val="00B0F0"/>
                </a:solidFill>
              </a:rPr>
              <a:t>Tarif de la licence maternelle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84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'Tableaux de bord'!$C$73</c:f>
              <c:strCache>
                <c:ptCount val="1"/>
                <c:pt idx="0">
                  <c:v>Moyenne nationale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bord'!$D$69:$F$69</c:f>
              <c:strCache>
                <c:ptCount val="3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</c:strCache>
            </c:strRef>
          </c:cat>
          <c:val>
            <c:numRef>
              <c:f>'Tableaux de bord'!$D$73:$F$73</c:f>
              <c:numCache>
                <c:formatCode>#\ ##0.00\ "€"</c:formatCode>
                <c:ptCount val="3"/>
                <c:pt idx="0">
                  <c:v>5.873203883495143</c:v>
                </c:pt>
                <c:pt idx="1">
                  <c:v>5.8468932038834946</c:v>
                </c:pt>
                <c:pt idx="2">
                  <c:v>5.7667961165048531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C66-8498-6B8368C6D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330528079"/>
        <c:axId val="330530159"/>
      </c:barChart>
      <c:lineChart>
        <c:grouping val="standard"/>
        <c:varyColors val="0"/>
        <c:ser>
          <c:idx val="0"/>
          <c:order val="0"/>
          <c:tx>
            <c:strRef>
              <c:f>'Tableaux de bord'!$C$72</c:f>
              <c:strCache>
                <c:ptCount val="1"/>
                <c:pt idx="0">
                  <c:v>Tarif du Comité départemental</c:v>
                </c:pt>
              </c:strCache>
            </c:strRef>
          </c:tx>
          <c:spPr>
            <a:ln w="101600" cap="rnd">
              <a:solidFill>
                <a:srgbClr val="00B0F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15"/>
            <c:spPr>
              <a:solidFill>
                <a:srgbClr val="00B0F0"/>
              </a:solidFill>
              <a:ln w="25400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bord'!$D$69:$F$69</c:f>
              <c:strCache>
                <c:ptCount val="3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</c:strCache>
            </c:strRef>
          </c:cat>
          <c:val>
            <c:numRef>
              <c:f>'Tableaux de bord'!$D$72:$F$72</c:f>
              <c:numCache>
                <c:formatCode>#\ ##0.00\ "€"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C66-8498-6B8368C6D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528079"/>
        <c:axId val="330530159"/>
      </c:lineChart>
      <c:catAx>
        <c:axId val="330528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0530159"/>
        <c:crosses val="autoZero"/>
        <c:auto val="1"/>
        <c:lblAlgn val="ctr"/>
        <c:lblOffset val="100"/>
        <c:noMultiLvlLbl val="0"/>
      </c:catAx>
      <c:valAx>
        <c:axId val="33053015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0528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alpha val="99000"/>
        </a:schemeClr>
      </a:solidFill>
      <a:round/>
    </a:ln>
    <a:effectLst/>
  </c:spPr>
  <c:txPr>
    <a:bodyPr/>
    <a:lstStyle/>
    <a:p>
      <a:pPr>
        <a:defRPr sz="32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rgbClr val="FF0000"/>
                </a:solidFill>
              </a:rPr>
              <a:t>Tarif de la licence adulte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84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'Tableaux de bord'!$C$75</c:f>
              <c:strCache>
                <c:ptCount val="1"/>
                <c:pt idx="0">
                  <c:v>Moyenne nationale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bord'!$D$69:$F$69</c:f>
              <c:strCache>
                <c:ptCount val="3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</c:strCache>
            </c:strRef>
          </c:cat>
          <c:val>
            <c:numRef>
              <c:f>'Tableaux de bord'!$D$75:$F$75</c:f>
              <c:numCache>
                <c:formatCode>#\ ##0.00\ "€"</c:formatCode>
                <c:ptCount val="3"/>
                <c:pt idx="0">
                  <c:v>18.577864077669901</c:v>
                </c:pt>
                <c:pt idx="1">
                  <c:v>18.526990291262134</c:v>
                </c:pt>
                <c:pt idx="2">
                  <c:v>18.547572815533979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D-48CA-A6F5-736FC77F6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330528079"/>
        <c:axId val="330530159"/>
      </c:barChart>
      <c:lineChart>
        <c:grouping val="standard"/>
        <c:varyColors val="0"/>
        <c:ser>
          <c:idx val="0"/>
          <c:order val="0"/>
          <c:tx>
            <c:strRef>
              <c:f>'Tableaux de bord'!$C$74</c:f>
              <c:strCache>
                <c:ptCount val="1"/>
                <c:pt idx="0">
                  <c:v>Tarif du Comité départemental</c:v>
                </c:pt>
              </c:strCache>
            </c:strRef>
          </c:tx>
          <c:spPr>
            <a:ln w="101600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15"/>
            <c:spPr>
              <a:solidFill>
                <a:srgbClr val="FF0000"/>
              </a:solidFill>
              <a:ln w="25400">
                <a:solidFill>
                  <a:srgbClr val="FF00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bord'!$D$69:$F$69</c:f>
              <c:strCache>
                <c:ptCount val="3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</c:strCache>
            </c:strRef>
          </c:cat>
          <c:val>
            <c:numRef>
              <c:f>'Tableaux de bord'!$D$74:$F$74</c:f>
              <c:numCache>
                <c:formatCode>#\ ##0.00\ "€"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D-48CA-A6F5-736FC77F6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528079"/>
        <c:axId val="330530159"/>
      </c:lineChart>
      <c:catAx>
        <c:axId val="330528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0530159"/>
        <c:crosses val="autoZero"/>
        <c:auto val="1"/>
        <c:lblAlgn val="ctr"/>
        <c:lblOffset val="100"/>
        <c:noMultiLvlLbl val="0"/>
      </c:catAx>
      <c:valAx>
        <c:axId val="33053015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0528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alpha val="99000"/>
        </a:schemeClr>
      </a:solidFill>
      <a:round/>
    </a:ln>
    <a:effectLst/>
  </c:spPr>
  <c:txPr>
    <a:bodyPr/>
    <a:lstStyle/>
    <a:p>
      <a:pPr>
        <a:defRPr sz="32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rgbClr val="00B050"/>
                </a:solidFill>
              </a:rPr>
              <a:t>Tarif Affiliation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84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'Tableaux de bord'!$C$77</c:f>
              <c:strCache>
                <c:ptCount val="1"/>
                <c:pt idx="0">
                  <c:v>Moyenne nationale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bord'!$D$69:$F$69</c:f>
              <c:strCache>
                <c:ptCount val="3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</c:strCache>
            </c:strRef>
          </c:cat>
          <c:val>
            <c:numRef>
              <c:f>'Tableaux de bord'!$D$77:$F$77</c:f>
              <c:numCache>
                <c:formatCode>#\ ##0.00\ "€"</c:formatCode>
                <c:ptCount val="3"/>
                <c:pt idx="0">
                  <c:v>36.770388349514562</c:v>
                </c:pt>
                <c:pt idx="1">
                  <c:v>37.126407766990283</c:v>
                </c:pt>
                <c:pt idx="2">
                  <c:v>37.371067961165046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5-4C91-B455-5DA00F8EC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330528079"/>
        <c:axId val="330530159"/>
      </c:barChart>
      <c:lineChart>
        <c:grouping val="standard"/>
        <c:varyColors val="0"/>
        <c:ser>
          <c:idx val="0"/>
          <c:order val="0"/>
          <c:tx>
            <c:strRef>
              <c:f>'Tableaux de bord'!$C$76</c:f>
              <c:strCache>
                <c:ptCount val="1"/>
                <c:pt idx="0">
                  <c:v>Tarif du Comité départemental</c:v>
                </c:pt>
              </c:strCache>
            </c:strRef>
          </c:tx>
          <c:spPr>
            <a:ln w="101600" cap="rnd">
              <a:solidFill>
                <a:srgbClr val="00B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15"/>
            <c:spPr>
              <a:solidFill>
                <a:srgbClr val="00B050"/>
              </a:solidFill>
              <a:ln w="25400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bord'!$D$69:$F$69</c:f>
              <c:strCache>
                <c:ptCount val="3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</c:strCache>
            </c:strRef>
          </c:cat>
          <c:val>
            <c:numRef>
              <c:f>'Tableaux de bord'!$D$76:$F$76</c:f>
              <c:numCache>
                <c:formatCode>#\ ##0.00\ "€"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35-4C91-B455-5DA00F8EC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528079"/>
        <c:axId val="330530159"/>
      </c:lineChart>
      <c:catAx>
        <c:axId val="330528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0530159"/>
        <c:crosses val="autoZero"/>
        <c:auto val="1"/>
        <c:lblAlgn val="ctr"/>
        <c:lblOffset val="100"/>
        <c:noMultiLvlLbl val="0"/>
      </c:catAx>
      <c:valAx>
        <c:axId val="330530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0528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alpha val="99000"/>
        </a:schemeClr>
      </a:solidFill>
      <a:round/>
    </a:ln>
    <a:effectLst/>
  </c:spPr>
  <c:txPr>
    <a:bodyPr/>
    <a:lstStyle/>
    <a:p>
      <a:pPr>
        <a:defRPr sz="32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384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384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Subvention Conseil Départemental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384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'Tableaux de bord'!$A$96</c:f>
              <c:strCache>
                <c:ptCount val="1"/>
                <c:pt idx="0">
                  <c:v>Moyenne nationale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bord'!$C$94:$E$94</c:f>
              <c:strCache>
                <c:ptCount val="3"/>
                <c:pt idx="0">
                  <c:v> 2018-2019 </c:v>
                </c:pt>
                <c:pt idx="1">
                  <c:v> 2019-2020 </c:v>
                </c:pt>
                <c:pt idx="2">
                  <c:v> 2020-2021 </c:v>
                </c:pt>
              </c:strCache>
            </c:strRef>
          </c:cat>
          <c:val>
            <c:numRef>
              <c:f>'Tableaux de bord'!$C$96:$E$96</c:f>
              <c:numCache>
                <c:formatCode>_-* #\ ##0.00\ [$€-40C]_-;\-* #\ ##0.00\ [$€-40C]_-;_-* "-"??\ [$€-40C]_-;_-@_-</c:formatCode>
                <c:ptCount val="3"/>
                <c:pt idx="0">
                  <c:v>15897.111111111111</c:v>
                </c:pt>
                <c:pt idx="1">
                  <c:v>16848.784313725489</c:v>
                </c:pt>
                <c:pt idx="2">
                  <c:v>16863.313725490196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29-436B-A09A-A01C92134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6693439"/>
        <c:axId val="6669727"/>
      </c:barChart>
      <c:lineChart>
        <c:grouping val="standard"/>
        <c:varyColors val="0"/>
        <c:ser>
          <c:idx val="0"/>
          <c:order val="0"/>
          <c:tx>
            <c:strRef>
              <c:f>'Tableaux de bord'!$A$95</c:f>
              <c:strCache>
                <c:ptCount val="1"/>
                <c:pt idx="0">
                  <c:v>Subvention Conseil Départemental</c:v>
                </c:pt>
              </c:strCache>
            </c:strRef>
          </c:tx>
          <c:spPr>
            <a:ln w="1016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4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bord'!$C$94:$E$94</c:f>
              <c:strCache>
                <c:ptCount val="3"/>
                <c:pt idx="0">
                  <c:v> 2018-2019 </c:v>
                </c:pt>
                <c:pt idx="1">
                  <c:v> 2019-2020 </c:v>
                </c:pt>
                <c:pt idx="2">
                  <c:v> 2020-2021 </c:v>
                </c:pt>
              </c:strCache>
            </c:strRef>
          </c:cat>
          <c:val>
            <c:numRef>
              <c:f>'Tableaux de bord'!$C$95:$E$95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29-436B-A09A-A01C92134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3439"/>
        <c:axId val="6669727"/>
      </c:lineChart>
      <c:catAx>
        <c:axId val="6693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69727"/>
        <c:crosses val="autoZero"/>
        <c:auto val="1"/>
        <c:lblAlgn val="ctr"/>
        <c:lblOffset val="100"/>
        <c:noMultiLvlLbl val="0"/>
      </c:catAx>
      <c:valAx>
        <c:axId val="6669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[$€-40C]_-;\-* #\ ##0.00\ [$€-40C]_-;_-* &quot;-&quot;??\ [$€-40C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93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alpha val="99000"/>
        </a:schemeClr>
      </a:solidFill>
      <a:round/>
    </a:ln>
    <a:effectLst/>
  </c:spPr>
  <c:txPr>
    <a:bodyPr/>
    <a:lstStyle/>
    <a:p>
      <a:pPr>
        <a:defRPr sz="32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4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4000" b="1" i="0" baseline="0">
                <a:solidFill>
                  <a:srgbClr val="00B0F0"/>
                </a:solidFill>
                <a:effectLst/>
              </a:rPr>
              <a:t>Licences maternelle</a:t>
            </a:r>
            <a:endParaRPr lang="fr-FR" sz="4000">
              <a:solidFill>
                <a:srgbClr val="00B0F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4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'Tableaux de bord'!$A$9</c:f>
              <c:strCache>
                <c:ptCount val="1"/>
                <c:pt idx="0">
                  <c:v>Licences maternelles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127000">
                <a:solidFill>
                  <a:srgbClr val="00B0F0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bord'!$D$5:$H$5</c:f>
              <c:strCache>
                <c:ptCount val="5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</c:strCache>
            </c:strRef>
          </c:cat>
          <c:val>
            <c:numRef>
              <c:f>'Tableaux de bord'!$D$9:$H$9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B8-47BB-83B5-ADB3BDF48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727112"/>
        <c:axId val="599727768"/>
      </c:lineChart>
      <c:catAx>
        <c:axId val="59972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9727768"/>
        <c:crosses val="autoZero"/>
        <c:auto val="1"/>
        <c:lblAlgn val="ctr"/>
        <c:lblOffset val="100"/>
        <c:noMultiLvlLbl val="0"/>
      </c:catAx>
      <c:valAx>
        <c:axId val="5997277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99727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>
          <a:alpha val="99000"/>
        </a:sys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8.png"/><Relationship Id="rId18" Type="http://schemas.openxmlformats.org/officeDocument/2006/relationships/chart" Target="../charts/chart11.xml"/><Relationship Id="rId26" Type="http://schemas.openxmlformats.org/officeDocument/2006/relationships/chart" Target="../charts/chart17.xml"/><Relationship Id="rId3" Type="http://schemas.openxmlformats.org/officeDocument/2006/relationships/chart" Target="../charts/chart3.xml"/><Relationship Id="rId21" Type="http://schemas.openxmlformats.org/officeDocument/2006/relationships/chart" Target="../charts/chart14.xml"/><Relationship Id="rId7" Type="http://schemas.openxmlformats.org/officeDocument/2006/relationships/chart" Target="../charts/chart7.xml"/><Relationship Id="rId12" Type="http://schemas.openxmlformats.org/officeDocument/2006/relationships/image" Target="../media/image7.jpeg"/><Relationship Id="rId17" Type="http://schemas.openxmlformats.org/officeDocument/2006/relationships/chart" Target="../charts/chart10.xml"/><Relationship Id="rId25" Type="http://schemas.openxmlformats.org/officeDocument/2006/relationships/chart" Target="../charts/chart16.xml"/><Relationship Id="rId2" Type="http://schemas.openxmlformats.org/officeDocument/2006/relationships/chart" Target="../charts/chart2.xml"/><Relationship Id="rId16" Type="http://schemas.openxmlformats.org/officeDocument/2006/relationships/chart" Target="../charts/chart9.xml"/><Relationship Id="rId20" Type="http://schemas.openxmlformats.org/officeDocument/2006/relationships/chart" Target="../charts/chart13.xml"/><Relationship Id="rId29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6.png"/><Relationship Id="rId24" Type="http://schemas.openxmlformats.org/officeDocument/2006/relationships/chart" Target="../charts/chart15.xml"/><Relationship Id="rId5" Type="http://schemas.openxmlformats.org/officeDocument/2006/relationships/chart" Target="../charts/chart5.xml"/><Relationship Id="rId15" Type="http://schemas.openxmlformats.org/officeDocument/2006/relationships/chart" Target="../charts/chart8.xml"/><Relationship Id="rId23" Type="http://schemas.openxmlformats.org/officeDocument/2006/relationships/image" Target="../media/image11.jfif"/><Relationship Id="rId28" Type="http://schemas.openxmlformats.org/officeDocument/2006/relationships/chart" Target="../charts/chart19.xml"/><Relationship Id="rId10" Type="http://schemas.openxmlformats.org/officeDocument/2006/relationships/image" Target="../media/image5.png"/><Relationship Id="rId19" Type="http://schemas.openxmlformats.org/officeDocument/2006/relationships/chart" Target="../charts/chart12.xml"/><Relationship Id="rId4" Type="http://schemas.openxmlformats.org/officeDocument/2006/relationships/chart" Target="../charts/chart4.xml"/><Relationship Id="rId9" Type="http://schemas.openxmlformats.org/officeDocument/2006/relationships/image" Target="../media/image4.png"/><Relationship Id="rId14" Type="http://schemas.openxmlformats.org/officeDocument/2006/relationships/image" Target="../media/image9.png"/><Relationship Id="rId22" Type="http://schemas.openxmlformats.org/officeDocument/2006/relationships/image" Target="../media/image10.jpeg"/><Relationship Id="rId27" Type="http://schemas.openxmlformats.org/officeDocument/2006/relationships/chart" Target="../charts/chart18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11906</xdr:colOff>
      <xdr:row>0</xdr:row>
      <xdr:rowOff>161018</xdr:rowOff>
    </xdr:from>
    <xdr:ext cx="6060281" cy="642937"/>
    <xdr:pic>
      <xdr:nvPicPr>
        <xdr:cNvPr id="2" name="Image 1">
          <a:extLst>
            <a:ext uri="{FF2B5EF4-FFF2-40B4-BE49-F238E27FC236}">
              <a16:creationId xmlns:a16="http://schemas.microsoft.com/office/drawing/2014/main" id="{CFEE344E-422C-4056-AA95-75C9AF04AD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601"/>
        <a:stretch/>
      </xdr:blipFill>
      <xdr:spPr>
        <a:xfrm>
          <a:off x="773906" y="161018"/>
          <a:ext cx="6060281" cy="642937"/>
        </a:xfrm>
        <a:prstGeom prst="rect">
          <a:avLst/>
        </a:prstGeom>
      </xdr:spPr>
    </xdr:pic>
    <xdr:clientData/>
  </xdr:oneCellAnchor>
  <xdr:oneCellAnchor>
    <xdr:from>
      <xdr:col>1</xdr:col>
      <xdr:colOff>33338</xdr:colOff>
      <xdr:row>40</xdr:row>
      <xdr:rowOff>0</xdr:rowOff>
    </xdr:from>
    <xdr:ext cx="6060281" cy="842962"/>
    <xdr:pic>
      <xdr:nvPicPr>
        <xdr:cNvPr id="3" name="Image 2">
          <a:extLst>
            <a:ext uri="{FF2B5EF4-FFF2-40B4-BE49-F238E27FC236}">
              <a16:creationId xmlns:a16="http://schemas.microsoft.com/office/drawing/2014/main" id="{833A8D7A-8A06-41AF-9344-4CF0C6BC7D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097" b="-309"/>
        <a:stretch/>
      </xdr:blipFill>
      <xdr:spPr>
        <a:xfrm>
          <a:off x="795338" y="9239250"/>
          <a:ext cx="6060281" cy="842962"/>
        </a:xfrm>
        <a:prstGeom prst="rect">
          <a:avLst/>
        </a:prstGeom>
      </xdr:spPr>
    </xdr:pic>
    <xdr:clientData/>
  </xdr:oneCellAnchor>
  <xdr:oneCellAnchor>
    <xdr:from>
      <xdr:col>2</xdr:col>
      <xdr:colOff>273843</xdr:colOff>
      <xdr:row>4</xdr:row>
      <xdr:rowOff>164355</xdr:rowOff>
    </xdr:from>
    <xdr:ext cx="3250406" cy="1828751"/>
    <xdr:pic>
      <xdr:nvPicPr>
        <xdr:cNvPr id="4" name="Image 3">
          <a:extLst>
            <a:ext uri="{FF2B5EF4-FFF2-40B4-BE49-F238E27FC236}">
              <a16:creationId xmlns:a16="http://schemas.microsoft.com/office/drawing/2014/main" id="{2F3BF8A2-67C2-4991-9CFA-DB6DC0A54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6443" y="926355"/>
          <a:ext cx="3250406" cy="182875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4358</xdr:colOff>
      <xdr:row>24</xdr:row>
      <xdr:rowOff>415608</xdr:rowOff>
    </xdr:from>
    <xdr:to>
      <xdr:col>9</xdr:col>
      <xdr:colOff>0</xdr:colOff>
      <xdr:row>45</xdr:row>
      <xdr:rowOff>10178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0580FCC-B2F3-42E8-B143-8D5DD3D36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7936</xdr:colOff>
      <xdr:row>45</xdr:row>
      <xdr:rowOff>10303</xdr:rowOff>
    </xdr:from>
    <xdr:to>
      <xdr:col>9</xdr:col>
      <xdr:colOff>-1</xdr:colOff>
      <xdr:row>65</xdr:row>
      <xdr:rowOff>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3240D90-AF85-4285-A5C4-C5AEACECD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7383</xdr:colOff>
      <xdr:row>24</xdr:row>
      <xdr:rowOff>414314</xdr:rowOff>
    </xdr:from>
    <xdr:to>
      <xdr:col>18</xdr:col>
      <xdr:colOff>1</xdr:colOff>
      <xdr:row>45</xdr:row>
      <xdr:rowOff>10026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17AE2857-19A2-4BDD-87DE-552B672E3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24896</xdr:colOff>
      <xdr:row>140</xdr:row>
      <xdr:rowOff>192</xdr:rowOff>
    </xdr:from>
    <xdr:to>
      <xdr:col>8</xdr:col>
      <xdr:colOff>-1</xdr:colOff>
      <xdr:row>151</xdr:row>
      <xdr:rowOff>3608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2F08BE28-68C8-46AD-B9C3-B4198E975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1892277</xdr:colOff>
      <xdr:row>139</xdr:row>
      <xdr:rowOff>426629</xdr:rowOff>
    </xdr:from>
    <xdr:to>
      <xdr:col>18</xdr:col>
      <xdr:colOff>0</xdr:colOff>
      <xdr:row>150</xdr:row>
      <xdr:rowOff>416720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EA3426CD-A5F6-45B0-9A40-D54E7A491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1900862</xdr:colOff>
      <xdr:row>151</xdr:row>
      <xdr:rowOff>426193</xdr:rowOff>
    </xdr:from>
    <xdr:to>
      <xdr:col>16</xdr:col>
      <xdr:colOff>1905000</xdr:colOff>
      <xdr:row>171</xdr:row>
      <xdr:rowOff>9525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6C842AB8-06CA-47E2-82A3-C0651503E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3460</xdr:colOff>
      <xdr:row>172</xdr:row>
      <xdr:rowOff>1412</xdr:rowOff>
    </xdr:from>
    <xdr:to>
      <xdr:col>16</xdr:col>
      <xdr:colOff>1915466</xdr:colOff>
      <xdr:row>186</xdr:row>
      <xdr:rowOff>418681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8D6A738E-3DCF-4861-AD5E-22923D583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423446</xdr:colOff>
      <xdr:row>211</xdr:row>
      <xdr:rowOff>202637</xdr:rowOff>
    </xdr:from>
    <xdr:to>
      <xdr:col>2</xdr:col>
      <xdr:colOff>1493678</xdr:colOff>
      <xdr:row>213</xdr:row>
      <xdr:rowOff>398900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2BF6CB22-CEFB-4E39-9177-D93B6D3A5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446" y="99803245"/>
          <a:ext cx="1070232" cy="1071534"/>
        </a:xfrm>
        <a:prstGeom prst="rect">
          <a:avLst/>
        </a:prstGeom>
      </xdr:spPr>
    </xdr:pic>
    <xdr:clientData/>
  </xdr:twoCellAnchor>
  <xdr:twoCellAnchor editAs="oneCell">
    <xdr:from>
      <xdr:col>3</xdr:col>
      <xdr:colOff>283565</xdr:colOff>
      <xdr:row>211</xdr:row>
      <xdr:rowOff>261937</xdr:rowOff>
    </xdr:from>
    <xdr:to>
      <xdr:col>3</xdr:col>
      <xdr:colOff>1711939</xdr:colOff>
      <xdr:row>213</xdr:row>
      <xdr:rowOff>214887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ED0E377B-476C-4177-8D05-642BA121F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998565" y="99862545"/>
          <a:ext cx="1428374" cy="828221"/>
        </a:xfrm>
        <a:prstGeom prst="rect">
          <a:avLst/>
        </a:prstGeom>
      </xdr:spPr>
    </xdr:pic>
    <xdr:clientData/>
  </xdr:twoCellAnchor>
  <xdr:twoCellAnchor editAs="oneCell">
    <xdr:from>
      <xdr:col>4</xdr:col>
      <xdr:colOff>340883</xdr:colOff>
      <xdr:row>211</xdr:row>
      <xdr:rowOff>172691</xdr:rowOff>
    </xdr:from>
    <xdr:to>
      <xdr:col>4</xdr:col>
      <xdr:colOff>1420883</xdr:colOff>
      <xdr:row>214</xdr:row>
      <xdr:rowOff>124434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B5FE8FB1-B69F-4424-9EB3-F27B90325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960883" y="99773299"/>
          <a:ext cx="1080000" cy="1264649"/>
        </a:xfrm>
        <a:prstGeom prst="rect">
          <a:avLst/>
        </a:prstGeom>
      </xdr:spPr>
    </xdr:pic>
    <xdr:clientData/>
  </xdr:twoCellAnchor>
  <xdr:twoCellAnchor editAs="oneCell">
    <xdr:from>
      <xdr:col>1</xdr:col>
      <xdr:colOff>369905</xdr:colOff>
      <xdr:row>211</xdr:row>
      <xdr:rowOff>169493</xdr:rowOff>
    </xdr:from>
    <xdr:to>
      <xdr:col>1</xdr:col>
      <xdr:colOff>1443539</xdr:colOff>
      <xdr:row>214</xdr:row>
      <xdr:rowOff>74354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7438EA99-1C9F-4C27-B4F2-3F6CB9C49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4905" y="99770101"/>
          <a:ext cx="1073634" cy="1217767"/>
        </a:xfrm>
        <a:prstGeom prst="rect">
          <a:avLst/>
        </a:prstGeom>
      </xdr:spPr>
    </xdr:pic>
    <xdr:clientData/>
  </xdr:twoCellAnchor>
  <xdr:twoCellAnchor editAs="oneCell">
    <xdr:from>
      <xdr:col>6</xdr:col>
      <xdr:colOff>400031</xdr:colOff>
      <xdr:row>211</xdr:row>
      <xdr:rowOff>217492</xdr:rowOff>
    </xdr:from>
    <xdr:to>
      <xdr:col>6</xdr:col>
      <xdr:colOff>1478921</xdr:colOff>
      <xdr:row>214</xdr:row>
      <xdr:rowOff>131408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11BCA08D-06A5-45EA-BE33-05FCAE81F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0031" y="99818100"/>
          <a:ext cx="1078890" cy="1226822"/>
        </a:xfrm>
        <a:prstGeom prst="rect">
          <a:avLst/>
        </a:prstGeom>
      </xdr:spPr>
    </xdr:pic>
    <xdr:clientData/>
  </xdr:twoCellAnchor>
  <xdr:twoCellAnchor editAs="oneCell">
    <xdr:from>
      <xdr:col>7</xdr:col>
      <xdr:colOff>346511</xdr:colOff>
      <xdr:row>211</xdr:row>
      <xdr:rowOff>372617</xdr:rowOff>
    </xdr:from>
    <xdr:to>
      <xdr:col>7</xdr:col>
      <xdr:colOff>1425400</xdr:colOff>
      <xdr:row>213</xdr:row>
      <xdr:rowOff>139637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55105EB8-4441-467F-96C1-786506FEF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1511" y="99973225"/>
          <a:ext cx="1078889" cy="642291"/>
        </a:xfrm>
        <a:prstGeom prst="rect">
          <a:avLst/>
        </a:prstGeom>
      </xdr:spPr>
    </xdr:pic>
    <xdr:clientData/>
  </xdr:twoCellAnchor>
  <xdr:twoCellAnchor editAs="oneCell">
    <xdr:from>
      <xdr:col>8</xdr:col>
      <xdr:colOff>389807</xdr:colOff>
      <xdr:row>211</xdr:row>
      <xdr:rowOff>272762</xdr:rowOff>
    </xdr:from>
    <xdr:to>
      <xdr:col>8</xdr:col>
      <xdr:colOff>1468697</xdr:colOff>
      <xdr:row>213</xdr:row>
      <xdr:rowOff>142696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D29641C9-8D41-4B7E-AFFD-19595352E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9807" y="99873370"/>
          <a:ext cx="1078890" cy="745205"/>
        </a:xfrm>
        <a:prstGeom prst="rect">
          <a:avLst/>
        </a:prstGeom>
      </xdr:spPr>
    </xdr:pic>
    <xdr:clientData/>
  </xdr:twoCellAnchor>
  <xdr:twoCellAnchor>
    <xdr:from>
      <xdr:col>9</xdr:col>
      <xdr:colOff>2400</xdr:colOff>
      <xdr:row>3</xdr:row>
      <xdr:rowOff>248</xdr:rowOff>
    </xdr:from>
    <xdr:to>
      <xdr:col>18</xdr:col>
      <xdr:colOff>0</xdr:colOff>
      <xdr:row>24</xdr:row>
      <xdr:rowOff>416719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39214654-B7F7-4179-8AAD-D5193B1FA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4466</xdr:colOff>
      <xdr:row>3</xdr:row>
      <xdr:rowOff>8860</xdr:rowOff>
    </xdr:from>
    <xdr:to>
      <xdr:col>8</xdr:col>
      <xdr:colOff>1909580</xdr:colOff>
      <xdr:row>24</xdr:row>
      <xdr:rowOff>419100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B2072FF5-8C3B-48C0-A71B-DBE17BD38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2597</xdr:colOff>
      <xdr:row>225</xdr:row>
      <xdr:rowOff>854257</xdr:rowOff>
    </xdr:from>
    <xdr:to>
      <xdr:col>9</xdr:col>
      <xdr:colOff>2597</xdr:colOff>
      <xdr:row>243</xdr:row>
      <xdr:rowOff>0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AB314BBE-1CF0-4D5B-9488-3F623A3E38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242</xdr:row>
      <xdr:rowOff>431171</xdr:rowOff>
    </xdr:from>
    <xdr:to>
      <xdr:col>9</xdr:col>
      <xdr:colOff>8072</xdr:colOff>
      <xdr:row>282</xdr:row>
      <xdr:rowOff>0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68978B5D-CEAC-4071-9C84-8E73EA670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282</xdr:row>
      <xdr:rowOff>0</xdr:rowOff>
    </xdr:from>
    <xdr:to>
      <xdr:col>9</xdr:col>
      <xdr:colOff>0</xdr:colOff>
      <xdr:row>301</xdr:row>
      <xdr:rowOff>26322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E327013E-C847-4576-A84F-45F9413AA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7038</xdr:colOff>
      <xdr:row>226</xdr:row>
      <xdr:rowOff>3789</xdr:rowOff>
    </xdr:from>
    <xdr:to>
      <xdr:col>18</xdr:col>
      <xdr:colOff>0</xdr:colOff>
      <xdr:row>301</xdr:row>
      <xdr:rowOff>17972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4773A1A4-B2D9-4295-9E97-1AFC2373E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7768</xdr:colOff>
      <xdr:row>302</xdr:row>
      <xdr:rowOff>410838</xdr:rowOff>
    </xdr:from>
    <xdr:to>
      <xdr:col>13</xdr:col>
      <xdr:colOff>0</xdr:colOff>
      <xdr:row>329</xdr:row>
      <xdr:rowOff>8505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286C614A-01DA-471E-93BF-53E4D44DA6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10</xdr:col>
      <xdr:colOff>1203495</xdr:colOff>
      <xdr:row>211</xdr:row>
      <xdr:rowOff>192506</xdr:rowOff>
    </xdr:from>
    <xdr:to>
      <xdr:col>11</xdr:col>
      <xdr:colOff>572811</xdr:colOff>
      <xdr:row>214</xdr:row>
      <xdr:rowOff>13263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81219AD1-4228-4E5B-B400-492E162EC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253495" y="99793114"/>
          <a:ext cx="1274316" cy="1133663"/>
        </a:xfrm>
        <a:prstGeom prst="rect">
          <a:avLst/>
        </a:prstGeom>
      </xdr:spPr>
    </xdr:pic>
    <xdr:clientData/>
  </xdr:twoCellAnchor>
  <xdr:twoCellAnchor editAs="oneCell">
    <xdr:from>
      <xdr:col>13</xdr:col>
      <xdr:colOff>763447</xdr:colOff>
      <xdr:row>211</xdr:row>
      <xdr:rowOff>166653</xdr:rowOff>
    </xdr:from>
    <xdr:to>
      <xdr:col>14</xdr:col>
      <xdr:colOff>1039641</xdr:colOff>
      <xdr:row>214</xdr:row>
      <xdr:rowOff>113392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EA77B972-95DB-45BC-A681-0E1FEAB77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528447" y="99767261"/>
          <a:ext cx="2181194" cy="1259645"/>
        </a:xfrm>
        <a:prstGeom prst="rect">
          <a:avLst/>
        </a:prstGeom>
      </xdr:spPr>
    </xdr:pic>
    <xdr:clientData/>
  </xdr:twoCellAnchor>
  <xdr:twoCellAnchor>
    <xdr:from>
      <xdr:col>0</xdr:col>
      <xdr:colOff>16328</xdr:colOff>
      <xdr:row>83</xdr:row>
      <xdr:rowOff>428412</xdr:rowOff>
    </xdr:from>
    <xdr:to>
      <xdr:col>9</xdr:col>
      <xdr:colOff>0</xdr:colOff>
      <xdr:row>100</xdr:row>
      <xdr:rowOff>431947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774DF1E9-41DB-4229-BA44-0125D9BE5F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</xdr:col>
      <xdr:colOff>2968</xdr:colOff>
      <xdr:row>84</xdr:row>
      <xdr:rowOff>185</xdr:rowOff>
    </xdr:from>
    <xdr:to>
      <xdr:col>18</xdr:col>
      <xdr:colOff>0</xdr:colOff>
      <xdr:row>101</xdr:row>
      <xdr:rowOff>9720</xdr:rowOff>
    </xdr:to>
    <xdr:graphicFrame macro="">
      <xdr:nvGraphicFramePr>
        <xdr:cNvPr id="32" name="Graphique 31">
          <a:extLst>
            <a:ext uri="{FF2B5EF4-FFF2-40B4-BE49-F238E27FC236}">
              <a16:creationId xmlns:a16="http://schemas.microsoft.com/office/drawing/2014/main" id="{F62B2272-5328-4AE3-BF3C-A110C7E62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9</xdr:col>
      <xdr:colOff>1075</xdr:colOff>
      <xdr:row>66</xdr:row>
      <xdr:rowOff>834867</xdr:rowOff>
    </xdr:from>
    <xdr:to>
      <xdr:col>18</xdr:col>
      <xdr:colOff>0</xdr:colOff>
      <xdr:row>83</xdr:row>
      <xdr:rowOff>422872</xdr:rowOff>
    </xdr:to>
    <xdr:graphicFrame macro="">
      <xdr:nvGraphicFramePr>
        <xdr:cNvPr id="33" name="Graphique 32">
          <a:extLst>
            <a:ext uri="{FF2B5EF4-FFF2-40B4-BE49-F238E27FC236}">
              <a16:creationId xmlns:a16="http://schemas.microsoft.com/office/drawing/2014/main" id="{90CBA0AB-FCC0-450E-92CB-8D9DA7375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8071</xdr:colOff>
      <xdr:row>67</xdr:row>
      <xdr:rowOff>4382</xdr:rowOff>
    </xdr:from>
    <xdr:to>
      <xdr:col>9</xdr:col>
      <xdr:colOff>1</xdr:colOff>
      <xdr:row>83</xdr:row>
      <xdr:rowOff>426028</xdr:rowOff>
    </xdr:to>
    <xdr:graphicFrame macro="">
      <xdr:nvGraphicFramePr>
        <xdr:cNvPr id="34" name="Graphique 33">
          <a:extLst>
            <a:ext uri="{FF2B5EF4-FFF2-40B4-BE49-F238E27FC236}">
              <a16:creationId xmlns:a16="http://schemas.microsoft.com/office/drawing/2014/main" id="{CA6E6309-7108-4B09-96A9-5CEF57165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8423</xdr:colOff>
      <xdr:row>101</xdr:row>
      <xdr:rowOff>2957</xdr:rowOff>
    </xdr:from>
    <xdr:to>
      <xdr:col>9</xdr:col>
      <xdr:colOff>0</xdr:colOff>
      <xdr:row>120</xdr:row>
      <xdr:rowOff>41057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id="{2F1F9FFC-8D38-4C84-A72A-328E0C4989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9</xdr:col>
      <xdr:colOff>3968</xdr:colOff>
      <xdr:row>45</xdr:row>
      <xdr:rowOff>10027</xdr:rowOff>
    </xdr:from>
    <xdr:to>
      <xdr:col>18</xdr:col>
      <xdr:colOff>10026</xdr:colOff>
      <xdr:row>65</xdr:row>
      <xdr:rowOff>0</xdr:rowOff>
    </xdr:to>
    <xdr:graphicFrame macro="">
      <xdr:nvGraphicFramePr>
        <xdr:cNvPr id="37" name="Graphique 36">
          <a:extLst>
            <a:ext uri="{FF2B5EF4-FFF2-40B4-BE49-F238E27FC236}">
              <a16:creationId xmlns:a16="http://schemas.microsoft.com/office/drawing/2014/main" id="{88FEE45C-B57E-4857-95D0-B75C3C840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B47CC-DC72-4261-B51C-3B31C8FA3647}">
  <sheetPr codeName="Feuil105">
    <pageSetUpPr fitToPage="1"/>
  </sheetPr>
  <dimension ref="B16:H338"/>
  <sheetViews>
    <sheetView zoomScaleNormal="100" workbookViewId="0"/>
  </sheetViews>
  <sheetFormatPr baseColWidth="10" defaultColWidth="11.42578125" defaultRowHeight="15" x14ac:dyDescent="0.25"/>
  <cols>
    <col min="1" max="1" width="11.42578125" style="158"/>
    <col min="2" max="6" width="14.85546875" style="158" bestFit="1" customWidth="1"/>
    <col min="7" max="7" width="2.85546875" style="158" customWidth="1"/>
    <col min="8" max="8" width="15.28515625" style="158" customWidth="1"/>
    <col min="9" max="16384" width="11.42578125" style="158"/>
  </cols>
  <sheetData>
    <row r="16" spans="2:8" ht="46.5" customHeight="1" x14ac:dyDescent="0.25">
      <c r="B16" s="193" t="s">
        <v>671</v>
      </c>
      <c r="C16" s="193"/>
      <c r="D16" s="193"/>
      <c r="E16" s="193"/>
      <c r="F16" s="193"/>
      <c r="G16" s="193"/>
      <c r="H16" s="193"/>
    </row>
    <row r="17" spans="2:8" x14ac:dyDescent="0.25">
      <c r="B17" s="193"/>
      <c r="C17" s="193"/>
      <c r="D17" s="193"/>
      <c r="E17" s="193"/>
      <c r="F17" s="193"/>
      <c r="G17" s="193"/>
      <c r="H17" s="193"/>
    </row>
    <row r="18" spans="2:8" x14ac:dyDescent="0.25">
      <c r="B18" s="193"/>
      <c r="C18" s="193"/>
      <c r="D18" s="193"/>
      <c r="E18" s="193"/>
      <c r="F18" s="193"/>
      <c r="G18" s="193"/>
      <c r="H18" s="193"/>
    </row>
    <row r="20" spans="2:8" ht="36" customHeight="1" x14ac:dyDescent="0.25">
      <c r="B20" s="191" t="s">
        <v>676</v>
      </c>
      <c r="C20" s="191"/>
      <c r="D20" s="191"/>
      <c r="E20" s="191"/>
      <c r="F20" s="191"/>
      <c r="G20" s="191"/>
      <c r="H20" s="191"/>
    </row>
    <row r="21" spans="2:8" ht="36" customHeight="1" x14ac:dyDescent="0.25">
      <c r="B21" s="191" t="s">
        <v>677</v>
      </c>
      <c r="C21" s="191"/>
      <c r="D21" s="191"/>
      <c r="E21" s="191"/>
      <c r="F21" s="191"/>
      <c r="G21" s="191"/>
      <c r="H21" s="191"/>
    </row>
    <row r="22" spans="2:8" ht="36" customHeight="1" x14ac:dyDescent="0.25">
      <c r="B22" s="191" t="s">
        <v>678</v>
      </c>
      <c r="C22" s="191"/>
      <c r="D22" s="191"/>
      <c r="E22" s="191"/>
      <c r="F22" s="191"/>
      <c r="G22" s="191"/>
      <c r="H22" s="191"/>
    </row>
    <row r="23" spans="2:8" ht="36" customHeight="1" x14ac:dyDescent="0.25">
      <c r="B23" s="191" t="s">
        <v>672</v>
      </c>
      <c r="C23" s="191"/>
      <c r="D23" s="191"/>
      <c r="E23" s="191"/>
      <c r="F23" s="191"/>
      <c r="G23" s="191"/>
      <c r="H23" s="191"/>
    </row>
    <row r="24" spans="2:8" ht="36" customHeight="1" x14ac:dyDescent="0.25">
      <c r="B24" s="191" t="s">
        <v>679</v>
      </c>
      <c r="C24" s="191"/>
      <c r="D24" s="191"/>
      <c r="E24" s="191"/>
      <c r="F24" s="191"/>
      <c r="G24" s="191"/>
      <c r="H24" s="191"/>
    </row>
    <row r="25" spans="2:8" ht="36" customHeight="1" x14ac:dyDescent="0.25">
      <c r="B25" s="191" t="s">
        <v>680</v>
      </c>
      <c r="C25" s="191"/>
      <c r="D25" s="191"/>
      <c r="E25" s="191"/>
      <c r="F25" s="191"/>
      <c r="G25" s="191"/>
      <c r="H25" s="191"/>
    </row>
    <row r="26" spans="2:8" ht="36" customHeight="1" x14ac:dyDescent="0.25">
      <c r="B26" s="191" t="s">
        <v>684</v>
      </c>
      <c r="C26" s="191"/>
      <c r="D26" s="191"/>
      <c r="E26" s="191"/>
      <c r="F26" s="191"/>
      <c r="G26" s="191"/>
      <c r="H26" s="191"/>
    </row>
    <row r="27" spans="2:8" ht="45.75" customHeight="1" x14ac:dyDescent="0.25">
      <c r="B27" s="192" t="s">
        <v>713</v>
      </c>
      <c r="C27" s="192"/>
      <c r="D27" s="192"/>
      <c r="E27" s="192"/>
      <c r="F27" s="192"/>
      <c r="G27" s="192"/>
      <c r="H27" s="192"/>
    </row>
    <row r="28" spans="2:8" ht="36" customHeight="1" x14ac:dyDescent="0.25">
      <c r="B28" s="191" t="s">
        <v>681</v>
      </c>
      <c r="C28" s="191"/>
      <c r="D28" s="191"/>
      <c r="E28" s="191"/>
      <c r="F28" s="191"/>
      <c r="G28" s="191"/>
      <c r="H28" s="191"/>
    </row>
    <row r="33" spans="2:2" ht="18.75" x14ac:dyDescent="0.3">
      <c r="B33" s="159" t="s">
        <v>673</v>
      </c>
    </row>
    <row r="34" spans="2:2" ht="18.75" x14ac:dyDescent="0.3">
      <c r="B34" s="159" t="s">
        <v>674</v>
      </c>
    </row>
    <row r="35" spans="2:2" ht="18.75" x14ac:dyDescent="0.3">
      <c r="B35" s="159" t="s">
        <v>682</v>
      </c>
    </row>
    <row r="36" spans="2:2" ht="18.75" x14ac:dyDescent="0.3">
      <c r="B36" s="159" t="s">
        <v>683</v>
      </c>
    </row>
    <row r="40" spans="2:2" x14ac:dyDescent="0.25">
      <c r="B40" s="160" t="s">
        <v>726</v>
      </c>
    </row>
    <row r="44" spans="2:2" x14ac:dyDescent="0.25">
      <c r="B44" s="160" t="s">
        <v>675</v>
      </c>
    </row>
    <row r="255" ht="16.5" customHeight="1" x14ac:dyDescent="0.25"/>
    <row r="338" ht="18" customHeight="1" x14ac:dyDescent="0.25"/>
  </sheetData>
  <mergeCells count="10">
    <mergeCell ref="B25:H25"/>
    <mergeCell ref="B28:H28"/>
    <mergeCell ref="B26:H26"/>
    <mergeCell ref="B27:H27"/>
    <mergeCell ref="B16:H18"/>
    <mergeCell ref="B20:H20"/>
    <mergeCell ref="B21:H21"/>
    <mergeCell ref="B22:H22"/>
    <mergeCell ref="B23:H23"/>
    <mergeCell ref="B24:H24"/>
  </mergeCells>
  <pageMargins left="0.7" right="0.7" top="0.75" bottom="0.75" header="0.3" footer="0.3"/>
  <pageSetup paperSize="9" scale="84" fitToHeight="0" orientation="portrait" r:id="rId1"/>
  <rowBreaks count="2" manualBreakCount="2">
    <brk id="255" max="16383" man="1"/>
    <brk id="3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AFC37-1BBC-4AA7-9C54-DA5D70514C15}">
  <sheetPr codeName="Feuil1">
    <pageSetUpPr fitToPage="1"/>
  </sheetPr>
  <dimension ref="A1:AD404"/>
  <sheetViews>
    <sheetView tabSelected="1" zoomScale="40" zoomScaleNormal="4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" sqref="C1"/>
    </sheetView>
  </sheetViews>
  <sheetFormatPr baseColWidth="10" defaultColWidth="28.7109375" defaultRowHeight="33.75" customHeight="1" x14ac:dyDescent="0.35"/>
  <cols>
    <col min="1" max="2" width="28.7109375" style="32"/>
    <col min="3" max="3" width="28.7109375" style="72"/>
    <col min="4" max="16384" width="28.7109375" style="32"/>
  </cols>
  <sheetData>
    <row r="1" spans="1:24" s="98" customFormat="1" ht="67.5" customHeight="1" thickBot="1" x14ac:dyDescent="0.3">
      <c r="A1" s="97" t="s">
        <v>725</v>
      </c>
      <c r="C1" s="99"/>
      <c r="D1" s="65"/>
    </row>
    <row r="2" spans="1:24" s="66" customFormat="1" ht="33.75" customHeight="1" x14ac:dyDescent="0.7">
      <c r="A2" s="63"/>
      <c r="B2" s="64"/>
      <c r="C2" s="96"/>
      <c r="D2" s="65"/>
    </row>
    <row r="3" spans="1:24" s="101" customFormat="1" ht="67.5" customHeight="1" x14ac:dyDescent="0.25">
      <c r="A3" s="169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</row>
    <row r="4" spans="1:24" s="59" customFormat="1" ht="33.75" customHeight="1" x14ac:dyDescent="0.35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T4" s="32"/>
      <c r="U4" s="32"/>
      <c r="V4" s="32"/>
      <c r="W4" s="32"/>
      <c r="X4" s="32"/>
    </row>
    <row r="5" spans="1:24" s="161" customFormat="1" ht="33.75" customHeight="1" x14ac:dyDescent="0.35">
      <c r="A5" s="115"/>
      <c r="D5" s="116" t="s">
        <v>2</v>
      </c>
      <c r="E5" s="115" t="s">
        <v>3</v>
      </c>
      <c r="F5" s="115" t="s">
        <v>4</v>
      </c>
      <c r="G5" s="115" t="s">
        <v>5</v>
      </c>
      <c r="H5" s="115" t="s">
        <v>253</v>
      </c>
      <c r="J5" s="162"/>
      <c r="K5" s="162"/>
      <c r="L5" s="162"/>
      <c r="M5" s="162"/>
      <c r="N5" s="162"/>
      <c r="O5" s="162"/>
      <c r="T5" s="125"/>
      <c r="U5" s="125"/>
      <c r="V5" s="125"/>
      <c r="W5" s="125"/>
      <c r="X5" s="125"/>
    </row>
    <row r="6" spans="1:24" s="163" customFormat="1" ht="33.75" customHeight="1" x14ac:dyDescent="0.35">
      <c r="A6" s="118" t="s">
        <v>6</v>
      </c>
      <c r="D6" s="120" t="str">
        <f>IFERROR(VLOOKUP($C$1,DonnéesDEF!$A$1:$LG$110,5,FALSE),"ERR")</f>
        <v>ERR</v>
      </c>
      <c r="E6" s="120" t="str">
        <f>IFERROR(VLOOKUP($C$1,DonnéesDEF!$A$1:$LG$110,6,FALSE),"ERR")</f>
        <v>ERR</v>
      </c>
      <c r="F6" s="120" t="str">
        <f>IFERROR(VLOOKUP($C$1,DonnéesDEF!$A$1:$LG$110,7,FALSE),"ERR")</f>
        <v>ERR</v>
      </c>
      <c r="G6" s="120" t="str">
        <f>IFERROR(VLOOKUP($C$1,DonnéesDEF!$A$1:$LG$110,8,FALSE),"ERR")</f>
        <v>ERR</v>
      </c>
      <c r="H6" s="120" t="str">
        <f>IFERROR(VLOOKUP($C$1,DonnéesDEF!$A$1:$LG$110,9,FALSE),"ERR")</f>
        <v>ERR</v>
      </c>
      <c r="J6" s="164"/>
      <c r="K6" s="164"/>
      <c r="L6" s="164"/>
      <c r="M6" s="164"/>
      <c r="N6" s="164"/>
      <c r="O6" s="164"/>
      <c r="T6" s="125"/>
      <c r="U6" s="125"/>
      <c r="V6" s="125"/>
      <c r="W6" s="125"/>
      <c r="X6" s="125"/>
    </row>
    <row r="7" spans="1:24" s="163" customFormat="1" ht="33.75" customHeight="1" x14ac:dyDescent="0.35">
      <c r="A7" s="118" t="s">
        <v>275</v>
      </c>
      <c r="D7" s="120" t="str">
        <f>IFERROR(VLOOKUP($C$1,DonnéesDEF!$A$1:$LG$110,10,FALSE),"ERR")</f>
        <v>ERR</v>
      </c>
      <c r="E7" s="120" t="str">
        <f>IFERROR(VLOOKUP($C$1,DonnéesDEF!$A$1:$LG$110,11,FALSE),"ERR")</f>
        <v>ERR</v>
      </c>
      <c r="F7" s="120" t="str">
        <f>IFERROR(VLOOKUP($C$1,DonnéesDEF!$A$1:$LG$110,12,FALSE),"ERR")</f>
        <v>ERR</v>
      </c>
      <c r="G7" s="120" t="str">
        <f>IFERROR(VLOOKUP($C$1,DonnéesDEF!$A$1:$LG$110,13,FALSE),"ERR")</f>
        <v>ERR</v>
      </c>
      <c r="H7" s="120" t="str">
        <f>IFERROR(VLOOKUP($C$1,DonnéesDEF!$A$1:$LG$110,14,FALSE),"ERR")</f>
        <v>ERR</v>
      </c>
      <c r="J7" s="164"/>
      <c r="K7" s="164"/>
      <c r="L7" s="164"/>
      <c r="M7" s="164"/>
      <c r="N7" s="164"/>
      <c r="O7" s="164"/>
      <c r="T7" s="125"/>
      <c r="U7" s="125"/>
      <c r="V7" s="125"/>
      <c r="W7" s="125"/>
      <c r="X7" s="125"/>
    </row>
    <row r="8" spans="1:24" s="163" customFormat="1" ht="33.75" customHeight="1" x14ac:dyDescent="0.35">
      <c r="A8" s="118" t="s">
        <v>276</v>
      </c>
      <c r="D8" s="120" t="str">
        <f>IFERROR(VLOOKUP($C$1,DonnéesDEF!$A$1:$LG$110,15,FALSE),"ERR")</f>
        <v>ERR</v>
      </c>
      <c r="E8" s="120" t="str">
        <f>IFERROR(VLOOKUP($C$1,DonnéesDEF!$A$1:$LG$110,16,FALSE),"ERR")</f>
        <v>ERR</v>
      </c>
      <c r="F8" s="120" t="str">
        <f>IFERROR(VLOOKUP($C$1,DonnéesDEF!$A$1:$LG$110,17,FALSE),"ERR")</f>
        <v>ERR</v>
      </c>
      <c r="G8" s="120" t="str">
        <f>IFERROR(VLOOKUP($C$1,DonnéesDEF!$A$1:$LG$110,18,FALSE),"ERR")</f>
        <v>ERR</v>
      </c>
      <c r="H8" s="120" t="str">
        <f>IFERROR(VLOOKUP($C$1,DonnéesDEF!$A$1:$LG$110,19,FALSE),"ERR")</f>
        <v>ERR</v>
      </c>
      <c r="J8" s="164"/>
      <c r="K8" s="164"/>
      <c r="L8" s="164"/>
      <c r="M8" s="164"/>
      <c r="N8" s="164"/>
      <c r="O8" s="164"/>
      <c r="T8" s="125"/>
      <c r="U8" s="125"/>
      <c r="V8" s="125"/>
      <c r="W8" s="125"/>
      <c r="X8" s="125"/>
    </row>
    <row r="9" spans="1:24" s="163" customFormat="1" ht="33.75" customHeight="1" x14ac:dyDescent="0.35">
      <c r="A9" s="118" t="s">
        <v>277</v>
      </c>
      <c r="D9" s="120" t="str">
        <f>IFERROR(VLOOKUP($C$1,DonnéesDEF!$A$1:$LG$110,20,FALSE),"ERR")</f>
        <v>ERR</v>
      </c>
      <c r="E9" s="120" t="str">
        <f>IFERROR(VLOOKUP($C$1,DonnéesDEF!$A$1:$LG$110,21,FALSE),"ERR")</f>
        <v>ERR</v>
      </c>
      <c r="F9" s="120" t="str">
        <f>IFERROR(VLOOKUP($C$1,DonnéesDEF!$A$1:$LG$110,22,FALSE),"ERR")</f>
        <v>ERR</v>
      </c>
      <c r="G9" s="120" t="str">
        <f>IFERROR(VLOOKUP($C$1,DonnéesDEF!$A$1:$LG$110,23,FALSE),"ERR")</f>
        <v>ERR</v>
      </c>
      <c r="H9" s="120" t="str">
        <f>IFERROR(VLOOKUP($C$1,DonnéesDEF!$A$1:$LG$110,24,FALSE),"ERR")</f>
        <v>ERR</v>
      </c>
      <c r="T9" s="125"/>
      <c r="U9" s="125"/>
      <c r="V9" s="125"/>
      <c r="W9" s="125"/>
      <c r="X9" s="125"/>
    </row>
    <row r="10" spans="1:24" s="125" customFormat="1" ht="33.75" customHeight="1" x14ac:dyDescent="0.35">
      <c r="A10" s="126"/>
      <c r="C10" s="165"/>
      <c r="D10" s="126"/>
      <c r="E10" s="126"/>
      <c r="F10" s="126"/>
      <c r="G10" s="126"/>
      <c r="H10" s="126"/>
    </row>
    <row r="11" spans="1:24" s="125" customFormat="1" ht="33.75" customHeight="1" x14ac:dyDescent="0.35">
      <c r="A11" s="126"/>
      <c r="C11" s="165"/>
      <c r="D11" s="126"/>
      <c r="E11" s="126"/>
      <c r="F11" s="126"/>
      <c r="G11" s="126"/>
      <c r="H11" s="126"/>
    </row>
    <row r="12" spans="1:24" s="125" customFormat="1" ht="33.75" customHeight="1" x14ac:dyDescent="0.35">
      <c r="A12" s="126"/>
      <c r="C12" s="165"/>
      <c r="D12" s="126"/>
      <c r="E12" s="126"/>
      <c r="F12" s="126"/>
      <c r="G12" s="126"/>
      <c r="H12" s="126"/>
    </row>
    <row r="13" spans="1:24" s="125" customFormat="1" ht="33.75" customHeight="1" x14ac:dyDescent="0.35">
      <c r="A13" s="166" t="s">
        <v>353</v>
      </c>
      <c r="C13" s="165"/>
      <c r="D13" s="116" t="s">
        <v>2</v>
      </c>
      <c r="E13" s="115" t="s">
        <v>3</v>
      </c>
      <c r="F13" s="115" t="s">
        <v>4</v>
      </c>
      <c r="G13" s="115" t="s">
        <v>5</v>
      </c>
      <c r="H13" s="115" t="s">
        <v>253</v>
      </c>
    </row>
    <row r="14" spans="1:24" s="125" customFormat="1" ht="33.75" customHeight="1" x14ac:dyDescent="0.35">
      <c r="A14" s="123" t="s">
        <v>341</v>
      </c>
      <c r="C14" s="165"/>
      <c r="D14" s="124" t="str">
        <f>IFERROR(VLOOKUP($C$1,DonnéesDEF!$A$1:$LG$110,79,FALSE),"ERR")</f>
        <v>ERR</v>
      </c>
      <c r="E14" s="124" t="str">
        <f>IFERROR(VLOOKUP($C$1,DonnéesDEF!$A$1:$LG$110,80,FALSE),"ERR")</f>
        <v>ERR</v>
      </c>
      <c r="F14" s="124" t="str">
        <f>IFERROR(VLOOKUP($C$1,DonnéesDEF!$A$1:$LG$110,81,FALSE),"ERR")</f>
        <v>ERR</v>
      </c>
      <c r="G14" s="124" t="str">
        <f>IFERROR(VLOOKUP($C$1,DonnéesDEF!$A$1:$LG$110,82,FALSE),"ERR")</f>
        <v>ERR</v>
      </c>
      <c r="H14" s="124" t="str">
        <f>IFERROR(VLOOKUP($C$1,DonnéesDEF!$A$1:$LG$110,83,FALSE),"ERR")</f>
        <v>ERR</v>
      </c>
    </row>
    <row r="15" spans="1:24" s="125" customFormat="1" ht="33.75" customHeight="1" x14ac:dyDescent="0.35">
      <c r="A15" s="123" t="s">
        <v>342</v>
      </c>
      <c r="C15" s="165"/>
      <c r="D15" s="124" t="str">
        <f>IFERROR(VLOOKUP($C$1,DonnéesDEF!$A$1:$LG$110,69,FALSE),"ERR")</f>
        <v>ERR</v>
      </c>
      <c r="E15" s="124" t="str">
        <f>IFERROR(VLOOKUP($C$1,DonnéesDEF!$A$1:$LG$110,69,FALSE),"ERR")</f>
        <v>ERR</v>
      </c>
      <c r="F15" s="124" t="str">
        <f>IFERROR(VLOOKUP($C$1,DonnéesDEF!$A$1:$LG$110,69,FALSE),"ERR")</f>
        <v>ERR</v>
      </c>
      <c r="G15" s="124" t="str">
        <f>IFERROR(VLOOKUP($C$1,DonnéesDEF!$A$1:$LG$110,70,FALSE),"ERR")</f>
        <v>ERR</v>
      </c>
      <c r="H15" s="124" t="str">
        <f>IFERROR(VLOOKUP($C$1,DonnéesDEF!$A$1:$LG$110,71,FALSE),"ERR")</f>
        <v>ERR</v>
      </c>
    </row>
    <row r="16" spans="1:24" s="125" customFormat="1" ht="33.75" customHeight="1" x14ac:dyDescent="0.35">
      <c r="A16" s="123" t="s">
        <v>343</v>
      </c>
      <c r="C16" s="165"/>
      <c r="D16" s="167" t="str">
        <f>IFERROR(D14/D15,"")</f>
        <v/>
      </c>
      <c r="E16" s="167" t="str">
        <f>IFERROR(E14/E15,"")</f>
        <v/>
      </c>
      <c r="F16" s="167" t="str">
        <f>IFERROR(F14/F15,"")</f>
        <v/>
      </c>
      <c r="G16" s="167" t="str">
        <f>IFERROR(G14/G15,"")</f>
        <v/>
      </c>
      <c r="H16" s="167" t="str">
        <f>IFERROR(H14/H15,"")</f>
        <v/>
      </c>
    </row>
    <row r="17" spans="1:8" s="125" customFormat="1" ht="33.75" customHeight="1" x14ac:dyDescent="0.35">
      <c r="A17" s="123" t="s">
        <v>355</v>
      </c>
      <c r="C17" s="165"/>
      <c r="D17" s="167">
        <f>DonnéesDEF!CA105/DonnéesDEF!BQ105</f>
        <v>0.2342260553790286</v>
      </c>
      <c r="E17" s="167">
        <f>DonnéesDEF!CB105/DonnéesDEF!BR105</f>
        <v>0.23412759080088236</v>
      </c>
      <c r="F17" s="167">
        <f>DonnéesDEF!CC105/DonnéesDEF!BS105</f>
        <v>0.21915638732127324</v>
      </c>
      <c r="G17" s="167">
        <f>DonnéesDEF!CD105/DonnéesDEF!BT105</f>
        <v>0.21828815656281633</v>
      </c>
      <c r="H17" s="167">
        <f>DonnéesDEF!CE105/DonnéesDEF!BU105</f>
        <v>0.15954995255523927</v>
      </c>
    </row>
    <row r="18" spans="1:8" s="125" customFormat="1" ht="33.75" customHeight="1" x14ac:dyDescent="0.35">
      <c r="A18" s="123"/>
      <c r="C18" s="165"/>
      <c r="D18" s="120"/>
      <c r="E18" s="120"/>
      <c r="F18" s="120"/>
      <c r="G18" s="120"/>
      <c r="H18" s="120"/>
    </row>
    <row r="19" spans="1:8" s="125" customFormat="1" ht="33.75" customHeight="1" x14ac:dyDescent="0.35">
      <c r="A19" s="168" t="s">
        <v>354</v>
      </c>
      <c r="C19" s="165"/>
      <c r="D19" s="116" t="s">
        <v>2</v>
      </c>
      <c r="E19" s="115" t="s">
        <v>3</v>
      </c>
      <c r="F19" s="115" t="s">
        <v>4</v>
      </c>
      <c r="G19" s="115" t="s">
        <v>5</v>
      </c>
      <c r="H19" s="115" t="s">
        <v>253</v>
      </c>
    </row>
    <row r="20" spans="1:8" s="125" customFormat="1" ht="33.75" customHeight="1" x14ac:dyDescent="0.35">
      <c r="A20" s="123" t="s">
        <v>351</v>
      </c>
      <c r="C20" s="165"/>
      <c r="D20" s="124" t="str">
        <f>IFERROR(VLOOKUP($C$1,DonnéesDEF!$A$1:$LG$110,84,FALSE),"ERR")</f>
        <v>ERR</v>
      </c>
      <c r="E20" s="124" t="str">
        <f>IFERROR(VLOOKUP($C$1,DonnéesDEF!$A$1:$LG$110,85,FALSE),"ERR")</f>
        <v>ERR</v>
      </c>
      <c r="F20" s="124" t="str">
        <f>IFERROR(VLOOKUP($C$1,DonnéesDEF!$A$1:$LG$110,86,FALSE),"ERR")</f>
        <v>ERR</v>
      </c>
      <c r="G20" s="124" t="str">
        <f>IFERROR(VLOOKUP($C$1,DonnéesDEF!$A$1:$LG$110,87,FALSE),"ERR")</f>
        <v>ERR</v>
      </c>
      <c r="H20" s="124" t="str">
        <f>IFERROR(VLOOKUP($C$1,DonnéesDEF!$A$1:$LG$110,88,FALSE),"ERR")</f>
        <v>ERR</v>
      </c>
    </row>
    <row r="21" spans="1:8" s="125" customFormat="1" ht="33.75" customHeight="1" x14ac:dyDescent="0.35">
      <c r="A21" s="123" t="s">
        <v>352</v>
      </c>
      <c r="C21" s="165"/>
      <c r="D21" s="124" t="str">
        <f>IFERROR(VLOOKUP($C$1,DonnéesDEF!$A$1:$LG$110,74,FALSE),"ERR")</f>
        <v>ERR</v>
      </c>
      <c r="E21" s="124" t="str">
        <f>IFERROR(VLOOKUP($C$1,DonnéesDEF!$A$1:$LG$110,75,FALSE),"ERR")</f>
        <v>ERR</v>
      </c>
      <c r="F21" s="124" t="str">
        <f>IFERROR(VLOOKUP($C$1,DonnéesDEF!$A$1:$LG$110,76,FALSE),"ERR")</f>
        <v>ERR</v>
      </c>
      <c r="G21" s="124" t="str">
        <f>IFERROR(VLOOKUP($C$1,DonnéesDEF!$A$1:$LG$110,77,FALSE),"ERR")</f>
        <v>ERR</v>
      </c>
      <c r="H21" s="124" t="str">
        <f>IFERROR(VLOOKUP($C$1,DonnéesDEF!$A$1:$LG$110,78,FALSE),"ERR")</f>
        <v>ERR</v>
      </c>
    </row>
    <row r="22" spans="1:8" s="125" customFormat="1" ht="33.75" customHeight="1" x14ac:dyDescent="0.35">
      <c r="A22" s="123" t="s">
        <v>343</v>
      </c>
      <c r="C22" s="165"/>
      <c r="D22" s="167" t="str">
        <f>IFERROR(D20/D21,"")</f>
        <v/>
      </c>
      <c r="E22" s="167" t="str">
        <f>IFERROR(E20/E21,"")</f>
        <v/>
      </c>
      <c r="F22" s="167" t="str">
        <f>IFERROR(F20/F21,"")</f>
        <v/>
      </c>
      <c r="G22" s="167" t="str">
        <f>IFERROR(G20/G21,"")</f>
        <v/>
      </c>
      <c r="H22" s="167" t="str">
        <f>IFERROR(H20/H21,"")</f>
        <v/>
      </c>
    </row>
    <row r="23" spans="1:8" s="125" customFormat="1" ht="33.75" customHeight="1" x14ac:dyDescent="0.35">
      <c r="A23" s="123" t="s">
        <v>355</v>
      </c>
      <c r="C23" s="165"/>
      <c r="D23" s="167">
        <f>DonnéesDEF!CF105/DonnéesDEF!BV105</f>
        <v>0.12404582534358045</v>
      </c>
      <c r="E23" s="167">
        <f>DonnéesDEF!CG105/DonnéesDEF!BW105</f>
        <v>0.12398080270564346</v>
      </c>
      <c r="F23" s="167">
        <f>DonnéesDEF!CH105/DonnéesDEF!BX105</f>
        <v>0.12173812811463387</v>
      </c>
      <c r="G23" s="167">
        <f>DonnéesDEF!CI105/DonnéesDEF!BY105</f>
        <v>0.11884789989593887</v>
      </c>
      <c r="H23" s="167">
        <f>DonnéesDEF!CJ105/DonnéesDEF!BZ105</f>
        <v>7.5651986455414807E-2</v>
      </c>
    </row>
    <row r="24" spans="1:8" s="125" customFormat="1" ht="33.75" customHeight="1" x14ac:dyDescent="0.35">
      <c r="A24" s="126"/>
      <c r="B24" s="126"/>
      <c r="C24" s="126"/>
      <c r="D24" s="126"/>
      <c r="E24" s="126"/>
      <c r="F24" s="126"/>
    </row>
    <row r="25" spans="1:8" s="117" customFormat="1" ht="33.75" customHeight="1" x14ac:dyDescent="0.35">
      <c r="A25" s="121"/>
      <c r="B25" s="121"/>
      <c r="C25" s="121"/>
      <c r="D25" s="121"/>
      <c r="E25" s="121"/>
      <c r="F25" s="121"/>
    </row>
    <row r="26" spans="1:8" ht="33.75" customHeight="1" x14ac:dyDescent="0.35">
      <c r="A26" s="70"/>
      <c r="B26" s="70"/>
      <c r="C26" s="70"/>
      <c r="D26" s="70"/>
      <c r="E26" s="70"/>
      <c r="F26" s="70"/>
    </row>
    <row r="27" spans="1:8" ht="33.75" customHeight="1" x14ac:dyDescent="0.35">
      <c r="A27" s="70"/>
      <c r="B27" s="70"/>
      <c r="C27" s="70"/>
      <c r="D27" s="70"/>
      <c r="E27" s="70"/>
      <c r="F27" s="70"/>
    </row>
    <row r="28" spans="1:8" ht="33.75" customHeight="1" x14ac:dyDescent="0.35">
      <c r="A28" s="70"/>
      <c r="B28" s="70"/>
      <c r="C28" s="70"/>
      <c r="D28" s="70"/>
      <c r="E28" s="70"/>
      <c r="F28" s="70"/>
    </row>
    <row r="29" spans="1:8" ht="33.75" customHeight="1" x14ac:dyDescent="0.35">
      <c r="A29" s="70"/>
      <c r="B29" s="70"/>
      <c r="C29" s="70"/>
      <c r="D29" s="70"/>
      <c r="E29" s="70"/>
      <c r="F29" s="70"/>
    </row>
    <row r="30" spans="1:8" ht="33.75" customHeight="1" x14ac:dyDescent="0.35">
      <c r="A30" s="70"/>
      <c r="B30" s="70"/>
      <c r="C30" s="70"/>
      <c r="D30" s="70"/>
      <c r="E30" s="70"/>
      <c r="F30" s="70"/>
    </row>
    <row r="31" spans="1:8" ht="33.75" customHeight="1" x14ac:dyDescent="0.35">
      <c r="A31" s="70"/>
      <c r="B31" s="70"/>
      <c r="C31" s="70"/>
      <c r="D31" s="70"/>
      <c r="E31" s="70"/>
      <c r="F31" s="70"/>
    </row>
    <row r="32" spans="1:8" ht="33.75" customHeight="1" x14ac:dyDescent="0.35">
      <c r="A32" s="70"/>
      <c r="B32" s="70"/>
      <c r="C32" s="70"/>
      <c r="D32" s="70"/>
      <c r="E32" s="70"/>
      <c r="F32" s="70"/>
    </row>
    <row r="33" spans="1:6" ht="33.75" customHeight="1" x14ac:dyDescent="0.35">
      <c r="A33" s="70"/>
      <c r="B33" s="70"/>
      <c r="C33" s="70"/>
      <c r="D33" s="70"/>
      <c r="E33" s="70"/>
      <c r="F33" s="70"/>
    </row>
    <row r="34" spans="1:6" ht="33.75" customHeight="1" x14ac:dyDescent="0.35">
      <c r="A34" s="70"/>
      <c r="B34" s="70"/>
      <c r="C34" s="70"/>
      <c r="D34" s="70"/>
      <c r="E34" s="70"/>
      <c r="F34" s="70"/>
    </row>
    <row r="35" spans="1:6" ht="33.75" customHeight="1" x14ac:dyDescent="0.35">
      <c r="A35" s="70"/>
      <c r="B35" s="70"/>
      <c r="C35" s="70"/>
      <c r="D35" s="70"/>
      <c r="E35" s="70"/>
      <c r="F35" s="70"/>
    </row>
    <row r="36" spans="1:6" ht="33.75" customHeight="1" x14ac:dyDescent="0.35">
      <c r="A36" s="70"/>
      <c r="B36" s="70"/>
      <c r="C36" s="70"/>
      <c r="D36" s="70"/>
      <c r="E36" s="70"/>
      <c r="F36" s="70"/>
    </row>
    <row r="37" spans="1:6" ht="33.75" customHeight="1" x14ac:dyDescent="0.35">
      <c r="A37" s="70"/>
      <c r="B37" s="70"/>
      <c r="C37" s="70"/>
      <c r="D37" s="70"/>
      <c r="E37" s="70"/>
      <c r="F37" s="70"/>
    </row>
    <row r="38" spans="1:6" ht="33.75" customHeight="1" x14ac:dyDescent="0.35">
      <c r="A38" s="70"/>
      <c r="B38" s="70"/>
      <c r="C38" s="70"/>
      <c r="D38" s="70"/>
      <c r="E38" s="70"/>
      <c r="F38" s="70"/>
    </row>
    <row r="39" spans="1:6" ht="33.75" customHeight="1" x14ac:dyDescent="0.35">
      <c r="A39" s="70"/>
      <c r="B39" s="70"/>
      <c r="C39" s="70"/>
      <c r="D39" s="70"/>
      <c r="E39" s="70"/>
      <c r="F39" s="70"/>
    </row>
    <row r="40" spans="1:6" ht="33.75" customHeight="1" x14ac:dyDescent="0.35">
      <c r="A40" s="70"/>
      <c r="B40" s="70"/>
      <c r="C40" s="70"/>
      <c r="D40" s="70"/>
      <c r="E40" s="70"/>
      <c r="F40" s="70"/>
    </row>
    <row r="41" spans="1:6" ht="33.75" customHeight="1" x14ac:dyDescent="0.35">
      <c r="A41" s="70"/>
      <c r="B41" s="70"/>
      <c r="C41" s="70"/>
      <c r="D41" s="70"/>
      <c r="E41" s="70"/>
      <c r="F41" s="70"/>
    </row>
    <row r="42" spans="1:6" ht="33.75" customHeight="1" x14ac:dyDescent="0.35">
      <c r="A42" s="70"/>
      <c r="B42" s="70"/>
      <c r="C42" s="70"/>
      <c r="D42" s="70"/>
      <c r="E42" s="70"/>
      <c r="F42" s="70"/>
    </row>
    <row r="43" spans="1:6" ht="33.75" customHeight="1" x14ac:dyDescent="0.35">
      <c r="A43" s="70"/>
      <c r="B43" s="70"/>
      <c r="C43" s="70"/>
      <c r="D43" s="70"/>
      <c r="E43" s="70"/>
      <c r="F43" s="70"/>
    </row>
    <row r="44" spans="1:6" ht="33.75" customHeight="1" x14ac:dyDescent="0.35">
      <c r="A44" s="70"/>
      <c r="B44" s="70"/>
      <c r="C44" s="70"/>
      <c r="D44" s="70"/>
      <c r="E44" s="70"/>
      <c r="F44" s="70"/>
    </row>
    <row r="45" spans="1:6" ht="33.75" customHeight="1" x14ac:dyDescent="0.35">
      <c r="A45" s="70"/>
      <c r="B45" s="70"/>
      <c r="C45" s="70"/>
      <c r="D45" s="70"/>
      <c r="E45" s="70"/>
      <c r="F45" s="70"/>
    </row>
    <row r="46" spans="1:6" ht="33.75" customHeight="1" x14ac:dyDescent="0.35">
      <c r="A46" s="70"/>
      <c r="B46" s="70"/>
      <c r="C46" s="70"/>
      <c r="D46" s="70"/>
      <c r="E46" s="70"/>
      <c r="F46" s="70"/>
    </row>
    <row r="47" spans="1:6" ht="33.75" customHeight="1" x14ac:dyDescent="0.35">
      <c r="A47" s="70"/>
      <c r="B47" s="70"/>
      <c r="C47" s="70"/>
      <c r="D47" s="70"/>
      <c r="E47" s="70"/>
      <c r="F47" s="70"/>
    </row>
    <row r="48" spans="1:6" ht="33.75" customHeight="1" x14ac:dyDescent="0.35">
      <c r="A48" s="70"/>
      <c r="B48" s="70"/>
      <c r="C48" s="70"/>
      <c r="D48" s="70"/>
      <c r="E48" s="70"/>
      <c r="F48" s="70"/>
    </row>
    <row r="49" spans="1:6" ht="33.75" customHeight="1" x14ac:dyDescent="0.35">
      <c r="A49" s="70"/>
      <c r="B49" s="70"/>
      <c r="C49" s="70"/>
      <c r="D49" s="70"/>
      <c r="E49" s="70"/>
      <c r="F49" s="70"/>
    </row>
    <row r="50" spans="1:6" ht="33.75" customHeight="1" x14ac:dyDescent="0.35">
      <c r="A50" s="70"/>
      <c r="B50" s="70"/>
      <c r="C50" s="70"/>
      <c r="D50" s="70"/>
      <c r="E50" s="70"/>
      <c r="F50" s="70"/>
    </row>
    <row r="51" spans="1:6" ht="33.75" customHeight="1" x14ac:dyDescent="0.35">
      <c r="A51" s="70"/>
      <c r="B51" s="70"/>
      <c r="C51" s="70"/>
      <c r="D51" s="70"/>
      <c r="E51" s="70"/>
      <c r="F51" s="70"/>
    </row>
    <row r="52" spans="1:6" ht="33.75" customHeight="1" x14ac:dyDescent="0.35">
      <c r="A52" s="70"/>
      <c r="B52" s="70"/>
      <c r="C52" s="70"/>
      <c r="D52" s="70"/>
      <c r="E52" s="70"/>
      <c r="F52" s="70"/>
    </row>
    <row r="53" spans="1:6" ht="33.75" customHeight="1" x14ac:dyDescent="0.35">
      <c r="A53" s="70"/>
      <c r="B53" s="70"/>
      <c r="C53" s="70"/>
      <c r="D53" s="70"/>
      <c r="E53" s="70"/>
      <c r="F53" s="70"/>
    </row>
    <row r="54" spans="1:6" ht="33.75" customHeight="1" x14ac:dyDescent="0.35">
      <c r="A54" s="70"/>
      <c r="B54" s="70"/>
      <c r="C54" s="70"/>
      <c r="D54" s="70"/>
      <c r="E54" s="70"/>
      <c r="F54" s="70"/>
    </row>
    <row r="55" spans="1:6" ht="33.75" customHeight="1" x14ac:dyDescent="0.35">
      <c r="A55" s="70"/>
      <c r="B55" s="70"/>
      <c r="C55" s="70"/>
      <c r="D55" s="70"/>
      <c r="E55" s="70"/>
      <c r="F55" s="70"/>
    </row>
    <row r="56" spans="1:6" ht="33.75" customHeight="1" x14ac:dyDescent="0.35">
      <c r="A56" s="70"/>
      <c r="B56" s="70"/>
      <c r="C56" s="70"/>
      <c r="D56" s="70"/>
      <c r="E56" s="70"/>
      <c r="F56" s="70"/>
    </row>
    <row r="57" spans="1:6" ht="33.75" customHeight="1" x14ac:dyDescent="0.35">
      <c r="A57" s="70"/>
      <c r="B57" s="70"/>
      <c r="C57" s="70"/>
      <c r="D57" s="70"/>
      <c r="E57" s="70"/>
      <c r="F57" s="70"/>
    </row>
    <row r="58" spans="1:6" ht="33.75" customHeight="1" x14ac:dyDescent="0.35">
      <c r="A58" s="70"/>
      <c r="B58" s="70"/>
      <c r="C58" s="70"/>
      <c r="D58" s="70"/>
      <c r="E58" s="70"/>
      <c r="F58" s="70"/>
    </row>
    <row r="59" spans="1:6" ht="33.75" customHeight="1" x14ac:dyDescent="0.35">
      <c r="A59" s="70"/>
      <c r="B59" s="70"/>
      <c r="C59" s="70"/>
      <c r="D59" s="70"/>
      <c r="E59" s="70"/>
      <c r="F59" s="70"/>
    </row>
    <row r="60" spans="1:6" ht="33.75" customHeight="1" x14ac:dyDescent="0.35">
      <c r="A60" s="70"/>
      <c r="B60" s="70"/>
      <c r="C60" s="70"/>
      <c r="D60" s="70"/>
      <c r="E60" s="70"/>
      <c r="F60" s="70"/>
    </row>
    <row r="61" spans="1:6" ht="33.75" customHeight="1" x14ac:dyDescent="0.35">
      <c r="A61" s="70"/>
      <c r="B61" s="70"/>
      <c r="C61" s="70"/>
      <c r="D61" s="70"/>
      <c r="E61" s="70"/>
      <c r="F61" s="70"/>
    </row>
    <row r="62" spans="1:6" ht="33.75" customHeight="1" x14ac:dyDescent="0.35">
      <c r="A62" s="70"/>
      <c r="B62" s="70"/>
      <c r="C62" s="70"/>
      <c r="D62" s="70"/>
      <c r="E62" s="70"/>
      <c r="F62" s="70"/>
    </row>
    <row r="63" spans="1:6" ht="33.75" customHeight="1" x14ac:dyDescent="0.35">
      <c r="A63" s="70"/>
      <c r="B63" s="70"/>
      <c r="C63" s="70"/>
      <c r="D63" s="70"/>
      <c r="E63" s="70"/>
      <c r="F63" s="70"/>
    </row>
    <row r="64" spans="1:6" ht="33.75" customHeight="1" x14ac:dyDescent="0.35">
      <c r="A64" s="70"/>
      <c r="B64" s="70"/>
      <c r="C64" s="70"/>
      <c r="D64" s="70"/>
      <c r="E64" s="70"/>
      <c r="F64" s="70"/>
    </row>
    <row r="65" spans="1:30" ht="33.75" customHeight="1" x14ac:dyDescent="0.35">
      <c r="A65" s="70"/>
      <c r="B65" s="70"/>
      <c r="C65" s="70"/>
      <c r="D65" s="70"/>
      <c r="E65" s="70"/>
      <c r="F65" s="70"/>
    </row>
    <row r="66" spans="1:30" ht="33.75" customHeight="1" x14ac:dyDescent="0.35">
      <c r="A66" s="70"/>
      <c r="B66" s="70"/>
      <c r="C66" s="70"/>
      <c r="D66" s="70"/>
      <c r="E66" s="70"/>
      <c r="F66" s="70"/>
    </row>
    <row r="67" spans="1:30" s="101" customFormat="1" ht="67.5" customHeight="1" x14ac:dyDescent="0.25">
      <c r="A67" s="170" t="s">
        <v>693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AD67" s="134"/>
    </row>
    <row r="68" spans="1:30" s="59" customFormat="1" ht="33.75" customHeight="1" x14ac:dyDescent="0.3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T68" s="32"/>
      <c r="U68" s="32"/>
      <c r="V68" s="32"/>
      <c r="W68" s="32"/>
      <c r="X68" s="32"/>
    </row>
    <row r="69" spans="1:30" s="119" customFormat="1" ht="33.75" customHeight="1" x14ac:dyDescent="0.35">
      <c r="C69" s="127"/>
      <c r="D69" s="116" t="s">
        <v>5</v>
      </c>
      <c r="E69" s="116" t="s">
        <v>253</v>
      </c>
      <c r="F69" s="116" t="s">
        <v>279</v>
      </c>
      <c r="T69" s="117"/>
      <c r="U69" s="117"/>
      <c r="V69" s="117"/>
      <c r="W69" s="117"/>
      <c r="X69" s="117"/>
    </row>
    <row r="70" spans="1:30" s="119" customFormat="1" ht="33.75" customHeight="1" x14ac:dyDescent="0.35">
      <c r="A70" s="118" t="s">
        <v>7</v>
      </c>
      <c r="C70" s="118" t="s">
        <v>664</v>
      </c>
      <c r="D70" s="128" t="str">
        <f>IFERROR(VLOOKUP($C$1,DonnéesDEF!$A$1:$LG$110,25,FALSE),"ERR")</f>
        <v>ERR</v>
      </c>
      <c r="E70" s="128" t="str">
        <f>IFERROR(VLOOKUP($C$1,DonnéesDEF!$A$1:$LG$110,26,FALSE),"ERR")</f>
        <v>ERR</v>
      </c>
      <c r="F70" s="128" t="str">
        <f>IFERROR(VLOOKUP($C$1,DonnéesDEF!$A$1:$LG$110,27,FALSE),"ERR")</f>
        <v>ERR</v>
      </c>
      <c r="T70" s="117"/>
      <c r="U70" s="117"/>
      <c r="V70" s="117"/>
      <c r="W70" s="117"/>
      <c r="X70" s="117"/>
    </row>
    <row r="71" spans="1:30" s="119" customFormat="1" ht="33.75" customHeight="1" x14ac:dyDescent="0.35">
      <c r="A71" s="123" t="s">
        <v>355</v>
      </c>
      <c r="C71" s="123" t="s">
        <v>355</v>
      </c>
      <c r="D71" s="129">
        <f>AVERAGE(DonnéesDEF!Y2:Y104)</f>
        <v>6.2330097087378622</v>
      </c>
      <c r="E71" s="129">
        <f>AVERAGE(DonnéesDEF!Z2:Z104)</f>
        <v>6.2107766990291253</v>
      </c>
      <c r="F71" s="129">
        <f>AVERAGE(DonnéesDEF!AA2:AA104)</f>
        <v>6.117961165048543</v>
      </c>
      <c r="T71" s="117"/>
      <c r="U71" s="117"/>
      <c r="V71" s="117"/>
      <c r="W71" s="117"/>
      <c r="X71" s="117"/>
    </row>
    <row r="72" spans="1:30" s="119" customFormat="1" ht="33.75" customHeight="1" x14ac:dyDescent="0.35">
      <c r="A72" s="118" t="s">
        <v>8</v>
      </c>
      <c r="C72" s="118" t="s">
        <v>664</v>
      </c>
      <c r="D72" s="128" t="str">
        <f>IFERROR(VLOOKUP($C$1,DonnéesDEF!$A$1:$LG$110,28,FALSE),"ERR")</f>
        <v>ERR</v>
      </c>
      <c r="E72" s="128" t="str">
        <f>IFERROR(VLOOKUP($C$1,DonnéesDEF!$A$1:$LG$110,29,FALSE),"ERR")</f>
        <v>ERR</v>
      </c>
      <c r="F72" s="128" t="str">
        <f>IFERROR(VLOOKUP($C$1,DonnéesDEF!$A$1:$LG$110,30,FALSE),"ERR")</f>
        <v>ERR</v>
      </c>
      <c r="T72" s="117"/>
      <c r="U72" s="117"/>
      <c r="V72" s="117"/>
      <c r="W72" s="117"/>
      <c r="X72" s="117"/>
    </row>
    <row r="73" spans="1:30" s="119" customFormat="1" ht="33.75" customHeight="1" x14ac:dyDescent="0.35">
      <c r="A73" s="123" t="s">
        <v>355</v>
      </c>
      <c r="C73" s="123" t="s">
        <v>355</v>
      </c>
      <c r="D73" s="130">
        <f>AVERAGE(DonnéesDEF!AB2:AB104)</f>
        <v>5.873203883495143</v>
      </c>
      <c r="E73" s="130">
        <f>AVERAGE(DonnéesDEF!AC2:AC104)</f>
        <v>5.8468932038834946</v>
      </c>
      <c r="F73" s="130">
        <f>AVERAGE(DonnéesDEF!AD2:AD104)</f>
        <v>5.7667961165048531</v>
      </c>
      <c r="T73" s="117"/>
      <c r="U73" s="117"/>
      <c r="V73" s="117"/>
      <c r="W73" s="117"/>
      <c r="X73" s="117"/>
    </row>
    <row r="74" spans="1:30" s="119" customFormat="1" ht="33.75" customHeight="1" x14ac:dyDescent="0.35">
      <c r="A74" s="118" t="s">
        <v>376</v>
      </c>
      <c r="C74" s="118" t="s">
        <v>664</v>
      </c>
      <c r="D74" s="128" t="str">
        <f>IFERROR(VLOOKUP($C$1,DonnéesDEF!$A$1:$LG$110,92,FALSE),"ERR")</f>
        <v>ERR</v>
      </c>
      <c r="E74" s="128" t="str">
        <f>IFERROR(VLOOKUP($C$1,DonnéesDEF!$A$1:$LG$110,93,FALSE),"ERR")</f>
        <v>ERR</v>
      </c>
      <c r="F74" s="128" t="str">
        <f>IFERROR(VLOOKUP($C$1,DonnéesDEF!$A$1:$LG$110,94,FALSE),"ERR")</f>
        <v>ERR</v>
      </c>
      <c r="T74" s="117"/>
      <c r="U74" s="117"/>
      <c r="V74" s="117"/>
      <c r="W74" s="117"/>
      <c r="X74" s="117"/>
    </row>
    <row r="75" spans="1:30" s="119" customFormat="1" ht="33.75" customHeight="1" x14ac:dyDescent="0.35">
      <c r="A75" s="123" t="s">
        <v>355</v>
      </c>
      <c r="C75" s="123" t="s">
        <v>355</v>
      </c>
      <c r="D75" s="129">
        <f>AVERAGE(DonnéesDEF!CN2:CN104)</f>
        <v>18.577864077669901</v>
      </c>
      <c r="E75" s="129">
        <f>AVERAGE(DonnéesDEF!CO2:CO104)</f>
        <v>18.526990291262134</v>
      </c>
      <c r="F75" s="129">
        <f>AVERAGE(DonnéesDEF!CP2:CP104)</f>
        <v>18.547572815533979</v>
      </c>
      <c r="G75" s="116"/>
      <c r="H75" s="116"/>
      <c r="T75" s="117"/>
      <c r="U75" s="117"/>
      <c r="V75" s="117"/>
      <c r="W75" s="117"/>
      <c r="X75" s="117"/>
    </row>
    <row r="76" spans="1:30" s="119" customFormat="1" ht="33.75" customHeight="1" x14ac:dyDescent="0.35">
      <c r="A76" s="118" t="s">
        <v>377</v>
      </c>
      <c r="C76" s="118" t="s">
        <v>664</v>
      </c>
      <c r="D76" s="128" t="str">
        <f>IFERROR(VLOOKUP($C$1,DonnéesDEF!$A$1:$LG$110,89,FALSE),"ERR")</f>
        <v>ERR</v>
      </c>
      <c r="E76" s="128" t="str">
        <f>IFERROR(VLOOKUP($C$1,DonnéesDEF!$A$1:$LG$110,90,FALSE),"ERR")</f>
        <v>ERR</v>
      </c>
      <c r="F76" s="128" t="str">
        <f>IFERROR(VLOOKUP($C$1,DonnéesDEF!$A$1:$LG$110,91,FALSE),"ERR")</f>
        <v>ERR</v>
      </c>
      <c r="T76" s="117"/>
      <c r="U76" s="117"/>
      <c r="V76" s="117"/>
      <c r="W76" s="117"/>
      <c r="X76" s="117"/>
    </row>
    <row r="77" spans="1:30" s="117" customFormat="1" ht="33.75" customHeight="1" x14ac:dyDescent="0.35">
      <c r="A77" s="123" t="s">
        <v>355</v>
      </c>
      <c r="C77" s="123" t="s">
        <v>355</v>
      </c>
      <c r="D77" s="130">
        <f>AVERAGE(DonnéesDEF!CK2:CK104)</f>
        <v>36.770388349514562</v>
      </c>
      <c r="E77" s="130">
        <f>AVERAGE(DonnéesDEF!CL2:CL104)</f>
        <v>37.126407766990283</v>
      </c>
      <c r="F77" s="130">
        <f>AVERAGE(DonnéesDEF!CM2:CM104)</f>
        <v>37.371067961165046</v>
      </c>
    </row>
    <row r="78" spans="1:30" s="117" customFormat="1" ht="33.75" customHeight="1" x14ac:dyDescent="0.35">
      <c r="C78" s="122"/>
    </row>
    <row r="79" spans="1:30" s="117" customFormat="1" ht="33.75" customHeight="1" x14ac:dyDescent="0.35">
      <c r="C79" s="122"/>
    </row>
    <row r="80" spans="1:30" s="117" customFormat="1" ht="33.75" customHeight="1" x14ac:dyDescent="0.35">
      <c r="C80" s="122"/>
    </row>
    <row r="81" spans="1:6" s="117" customFormat="1" ht="33.75" customHeight="1" x14ac:dyDescent="0.35">
      <c r="C81" s="122"/>
    </row>
    <row r="82" spans="1:6" s="117" customFormat="1" ht="33.75" customHeight="1" x14ac:dyDescent="0.35">
      <c r="C82" s="122"/>
    </row>
    <row r="83" spans="1:6" s="119" customFormat="1" ht="33.75" customHeight="1" x14ac:dyDescent="0.25">
      <c r="A83" s="118"/>
      <c r="C83" s="116"/>
      <c r="D83" s="116"/>
      <c r="E83" s="116"/>
    </row>
    <row r="84" spans="1:6" s="119" customFormat="1" ht="33.75" customHeight="1" x14ac:dyDescent="0.25">
      <c r="A84" s="118"/>
      <c r="C84" s="131"/>
      <c r="D84" s="131"/>
      <c r="E84" s="131"/>
    </row>
    <row r="85" spans="1:6" s="119" customFormat="1" ht="33.75" customHeight="1" x14ac:dyDescent="0.25">
      <c r="A85" s="132"/>
      <c r="C85" s="131"/>
      <c r="D85" s="131"/>
      <c r="E85" s="131"/>
    </row>
    <row r="86" spans="1:6" s="119" customFormat="1" ht="33.75" customHeight="1" x14ac:dyDescent="0.25">
      <c r="A86" s="132"/>
      <c r="C86" s="131"/>
      <c r="D86" s="131"/>
      <c r="E86" s="131"/>
    </row>
    <row r="87" spans="1:6" s="119" customFormat="1" ht="33.75" customHeight="1" x14ac:dyDescent="0.25">
      <c r="A87" s="132"/>
      <c r="C87" s="131"/>
      <c r="D87" s="131"/>
      <c r="E87" s="131"/>
    </row>
    <row r="88" spans="1:6" s="119" customFormat="1" ht="33.75" customHeight="1" x14ac:dyDescent="0.35">
      <c r="F88" s="117"/>
    </row>
    <row r="89" spans="1:6" s="119" customFormat="1" ht="33.75" customHeight="1" x14ac:dyDescent="0.35">
      <c r="C89" s="133"/>
      <c r="D89" s="133"/>
      <c r="E89" s="133"/>
      <c r="F89" s="117"/>
    </row>
    <row r="90" spans="1:6" s="119" customFormat="1" ht="33.75" customHeight="1" x14ac:dyDescent="0.25">
      <c r="C90" s="133"/>
      <c r="D90" s="133"/>
      <c r="E90" s="133"/>
    </row>
    <row r="91" spans="1:6" s="119" customFormat="1" ht="33.75" customHeight="1" x14ac:dyDescent="0.25">
      <c r="C91" s="133"/>
      <c r="D91" s="133"/>
      <c r="E91" s="133"/>
    </row>
    <row r="92" spans="1:6" s="119" customFormat="1" ht="33.75" customHeight="1" x14ac:dyDescent="0.25">
      <c r="A92" s="132"/>
      <c r="C92" s="133"/>
      <c r="D92" s="133"/>
      <c r="E92" s="133"/>
    </row>
    <row r="93" spans="1:6" s="119" customFormat="1" ht="33.75" customHeight="1" x14ac:dyDescent="0.25">
      <c r="C93" s="132"/>
      <c r="D93" s="131"/>
      <c r="E93" s="131"/>
    </row>
    <row r="94" spans="1:6" s="119" customFormat="1" ht="33.75" customHeight="1" x14ac:dyDescent="0.25">
      <c r="C94" s="131" t="s">
        <v>4</v>
      </c>
      <c r="D94" s="131" t="s">
        <v>5</v>
      </c>
      <c r="E94" s="131" t="s">
        <v>253</v>
      </c>
    </row>
    <row r="95" spans="1:6" s="119" customFormat="1" ht="33.75" customHeight="1" x14ac:dyDescent="0.25">
      <c r="A95" s="132" t="s">
        <v>593</v>
      </c>
      <c r="C95" s="120" t="str">
        <f>IFERROR(VLOOKUP($C$1,DonnéesDEF!$A$1:$LG$110,258,FALSE),"ERR")</f>
        <v>ERR</v>
      </c>
      <c r="D95" s="120" t="str">
        <f>IFERROR(VLOOKUP($C$1,DonnéesDEF!$A$1:$LG$110,259,FALSE),"ERR")</f>
        <v>ERR</v>
      </c>
      <c r="E95" s="120" t="str">
        <f>IFERROR(VLOOKUP($C$1,DonnéesDEF!$A$1:$LG$110,260,FALSE),"ERR")</f>
        <v>ERR</v>
      </c>
    </row>
    <row r="96" spans="1:6" s="119" customFormat="1" ht="33.75" customHeight="1" x14ac:dyDescent="0.25">
      <c r="A96" s="132" t="s">
        <v>355</v>
      </c>
      <c r="C96" s="131">
        <f>DonnéesDEF!IX105</f>
        <v>15897.111111111111</v>
      </c>
      <c r="D96" s="131">
        <f>DonnéesDEF!IY105</f>
        <v>16848.784313725489</v>
      </c>
      <c r="E96" s="131">
        <f>DonnéesDEF!IZ105</f>
        <v>16863.313725490196</v>
      </c>
    </row>
    <row r="97" spans="1:5" s="119" customFormat="1" ht="33.75" customHeight="1" x14ac:dyDescent="0.25">
      <c r="A97" s="118"/>
      <c r="C97" s="131"/>
      <c r="D97" s="131"/>
      <c r="E97" s="131"/>
    </row>
    <row r="98" spans="1:5" s="119" customFormat="1" ht="33.75" customHeight="1" x14ac:dyDescent="0.25">
      <c r="A98" s="132"/>
      <c r="B98" s="132"/>
      <c r="C98" s="131"/>
      <c r="D98" s="131"/>
      <c r="E98" s="131"/>
    </row>
    <row r="99" spans="1:5" s="119" customFormat="1" ht="33.75" customHeight="1" x14ac:dyDescent="0.25">
      <c r="A99" s="132"/>
      <c r="B99" s="132"/>
      <c r="C99" s="131"/>
      <c r="D99" s="131"/>
      <c r="E99" s="131"/>
    </row>
    <row r="100" spans="1:5" s="59" customFormat="1" ht="33.75" customHeight="1" x14ac:dyDescent="0.25">
      <c r="A100" s="93"/>
      <c r="B100" s="93"/>
      <c r="C100" s="71"/>
      <c r="D100" s="71"/>
      <c r="E100" s="71"/>
    </row>
    <row r="101" spans="1:5" s="59" customFormat="1" ht="33.75" customHeight="1" x14ac:dyDescent="0.25">
      <c r="A101" s="93"/>
      <c r="B101" s="93"/>
      <c r="C101" s="71"/>
      <c r="D101" s="71"/>
      <c r="E101" s="71"/>
    </row>
    <row r="102" spans="1:5" s="59" customFormat="1" ht="33.75" customHeight="1" x14ac:dyDescent="0.25">
      <c r="A102" s="93"/>
      <c r="B102" s="93"/>
      <c r="C102" s="71"/>
      <c r="D102" s="71"/>
      <c r="E102" s="71"/>
    </row>
    <row r="103" spans="1:5" s="59" customFormat="1" ht="33.75" customHeight="1" x14ac:dyDescent="0.25">
      <c r="A103" s="93"/>
      <c r="B103" s="93"/>
      <c r="C103" s="71"/>
      <c r="D103" s="71"/>
      <c r="E103" s="71"/>
    </row>
    <row r="104" spans="1:5" s="59" customFormat="1" ht="33.75" customHeight="1" x14ac:dyDescent="0.25">
      <c r="A104" s="93"/>
      <c r="B104" s="93"/>
      <c r="C104" s="71"/>
      <c r="D104" s="71"/>
      <c r="E104" s="71"/>
    </row>
    <row r="105" spans="1:5" s="59" customFormat="1" ht="33.75" customHeight="1" x14ac:dyDescent="0.25">
      <c r="A105" s="93"/>
      <c r="B105" s="93"/>
      <c r="C105" s="71"/>
      <c r="D105" s="71"/>
      <c r="E105" s="71"/>
    </row>
    <row r="106" spans="1:5" s="59" customFormat="1" ht="33.75" customHeight="1" x14ac:dyDescent="0.25">
      <c r="A106" s="93"/>
      <c r="B106" s="93"/>
      <c r="C106" s="71"/>
      <c r="D106" s="71"/>
      <c r="E106" s="71"/>
    </row>
    <row r="107" spans="1:5" s="59" customFormat="1" ht="33.75" customHeight="1" x14ac:dyDescent="0.25">
      <c r="A107" s="93"/>
      <c r="B107" s="93"/>
      <c r="C107" s="71"/>
      <c r="D107" s="71"/>
      <c r="E107" s="71"/>
    </row>
    <row r="108" spans="1:5" s="59" customFormat="1" ht="33.75" customHeight="1" x14ac:dyDescent="0.25">
      <c r="A108" s="93"/>
      <c r="B108" s="93"/>
      <c r="C108" s="71"/>
      <c r="D108" s="71"/>
      <c r="E108" s="71"/>
    </row>
    <row r="109" spans="1:5" s="59" customFormat="1" ht="33.75" customHeight="1" x14ac:dyDescent="0.25">
      <c r="A109" s="93"/>
      <c r="B109" s="93"/>
      <c r="C109" s="71"/>
      <c r="D109" s="71"/>
      <c r="E109" s="71"/>
    </row>
    <row r="110" spans="1:5" s="59" customFormat="1" ht="33.75" customHeight="1" x14ac:dyDescent="0.25">
      <c r="A110" s="93"/>
      <c r="B110" s="93"/>
      <c r="C110" s="71"/>
      <c r="D110" s="71"/>
      <c r="E110" s="71"/>
    </row>
    <row r="111" spans="1:5" s="59" customFormat="1" ht="33.75" customHeight="1" x14ac:dyDescent="0.25">
      <c r="A111" s="93"/>
      <c r="B111" s="93"/>
      <c r="C111" s="71"/>
      <c r="D111" s="71"/>
      <c r="E111" s="71"/>
    </row>
    <row r="112" spans="1:5" s="59" customFormat="1" ht="33.75" customHeight="1" x14ac:dyDescent="0.25">
      <c r="A112" s="93"/>
      <c r="B112" s="93"/>
      <c r="C112" s="71"/>
      <c r="D112" s="71"/>
      <c r="E112" s="71"/>
    </row>
    <row r="113" spans="1:18" s="59" customFormat="1" ht="33.75" customHeight="1" x14ac:dyDescent="0.25">
      <c r="A113" s="93"/>
      <c r="B113" s="93"/>
      <c r="C113" s="71"/>
      <c r="D113" s="71"/>
      <c r="E113" s="71"/>
    </row>
    <row r="114" spans="1:18" s="59" customFormat="1" ht="33.75" customHeight="1" x14ac:dyDescent="0.25">
      <c r="A114" s="93"/>
      <c r="B114" s="93"/>
      <c r="C114" s="71"/>
      <c r="D114" s="71"/>
      <c r="E114" s="71"/>
    </row>
    <row r="115" spans="1:18" s="59" customFormat="1" ht="33.75" customHeight="1" x14ac:dyDescent="0.25">
      <c r="A115" s="93"/>
      <c r="B115" s="93"/>
      <c r="C115" s="71"/>
      <c r="D115" s="71"/>
      <c r="E115" s="71"/>
    </row>
    <row r="116" spans="1:18" s="59" customFormat="1" ht="33.75" customHeight="1" x14ac:dyDescent="0.25">
      <c r="A116" s="93"/>
      <c r="B116" s="93"/>
      <c r="C116" s="71"/>
      <c r="D116" s="71"/>
      <c r="E116" s="71"/>
    </row>
    <row r="117" spans="1:18" s="59" customFormat="1" ht="33.75" customHeight="1" x14ac:dyDescent="0.25">
      <c r="A117" s="93"/>
      <c r="B117" s="93"/>
      <c r="C117" s="71"/>
      <c r="D117" s="71"/>
      <c r="E117" s="71"/>
    </row>
    <row r="118" spans="1:18" s="59" customFormat="1" ht="33.75" customHeight="1" x14ac:dyDescent="0.25">
      <c r="A118" s="93"/>
      <c r="B118" s="93"/>
      <c r="C118" s="71"/>
      <c r="D118" s="71"/>
      <c r="E118" s="71"/>
    </row>
    <row r="119" spans="1:18" s="59" customFormat="1" ht="33.75" customHeight="1" x14ac:dyDescent="0.25">
      <c r="A119" s="93"/>
      <c r="B119" s="93"/>
      <c r="C119" s="71"/>
      <c r="D119" s="71"/>
      <c r="E119" s="71"/>
    </row>
    <row r="120" spans="1:18" s="59" customFormat="1" ht="33.75" customHeight="1" x14ac:dyDescent="0.25">
      <c r="A120" s="93"/>
      <c r="B120" s="93"/>
      <c r="C120" s="71"/>
      <c r="D120" s="71"/>
      <c r="E120" s="71"/>
    </row>
    <row r="121" spans="1:18" s="59" customFormat="1" ht="33.75" customHeight="1" x14ac:dyDescent="0.25">
      <c r="A121" s="93"/>
      <c r="B121" s="93"/>
      <c r="C121" s="71"/>
      <c r="D121" s="71"/>
      <c r="E121" s="71"/>
    </row>
    <row r="122" spans="1:18" s="101" customFormat="1" ht="67.5" customHeight="1" x14ac:dyDescent="0.25">
      <c r="A122" s="171" t="s">
        <v>286</v>
      </c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</row>
    <row r="123" spans="1:18" s="59" customFormat="1" ht="33.75" customHeight="1" x14ac:dyDescent="0.25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</row>
    <row r="124" spans="1:18" s="59" customFormat="1" ht="33.75" customHeight="1" x14ac:dyDescent="0.25">
      <c r="A124" s="67"/>
      <c r="B124" s="67"/>
      <c r="C124" s="67"/>
      <c r="D124" s="331" t="s">
        <v>4</v>
      </c>
      <c r="E124" s="331"/>
      <c r="F124" s="331" t="s">
        <v>5</v>
      </c>
      <c r="G124" s="331"/>
      <c r="H124" s="331" t="s">
        <v>253</v>
      </c>
      <c r="I124" s="331"/>
      <c r="J124" s="67"/>
      <c r="K124" s="67"/>
      <c r="L124" s="67"/>
      <c r="M124" s="67"/>
      <c r="N124" s="351" t="s">
        <v>4</v>
      </c>
      <c r="O124" s="351" t="s">
        <v>5</v>
      </c>
      <c r="P124" s="351" t="s">
        <v>253</v>
      </c>
      <c r="Q124" s="67"/>
    </row>
    <row r="125" spans="1:18" s="59" customFormat="1" ht="33.75" customHeight="1" x14ac:dyDescent="0.25">
      <c r="A125" s="61"/>
      <c r="D125" s="331"/>
      <c r="E125" s="331"/>
      <c r="F125" s="331"/>
      <c r="G125" s="331"/>
      <c r="H125" s="331"/>
      <c r="I125" s="331"/>
      <c r="J125" s="69"/>
      <c r="N125" s="352"/>
      <c r="O125" s="352"/>
      <c r="P125" s="352"/>
    </row>
    <row r="126" spans="1:18" s="59" customFormat="1" ht="33.75" customHeight="1" x14ac:dyDescent="0.25">
      <c r="A126" s="353" t="s">
        <v>274</v>
      </c>
      <c r="B126" s="353"/>
      <c r="C126" s="353"/>
      <c r="D126" s="241" t="str">
        <f>IFERROR(VLOOKUP($C$1,DonnéesDEF!$A$1:$LG$110,31,FALSE),"ERR")</f>
        <v>ERR</v>
      </c>
      <c r="E126" s="241"/>
      <c r="F126" s="241" t="str">
        <f>IFERROR(VLOOKUP($C$1,DonnéesDEF!$A$1:$LG$110,32,FALSE),"ERR")</f>
        <v>ERR</v>
      </c>
      <c r="G126" s="241"/>
      <c r="H126" s="241" t="str">
        <f>IFERROR(VLOOKUP($C$1,DonnéesDEF!$A$1:$LG$110,33,FALSE),"ERR")</f>
        <v>ERR</v>
      </c>
      <c r="I126" s="241"/>
      <c r="J126" s="69"/>
      <c r="K126" s="332" t="s">
        <v>282</v>
      </c>
      <c r="L126" s="333"/>
      <c r="M126" s="334"/>
      <c r="N126" s="340" t="str">
        <f>IFERROR(VLOOKUP($C$1,DonnéesDEF!$A$1:$LG$110,34,FALSE),"ERR")</f>
        <v>ERR</v>
      </c>
      <c r="O126" s="340" t="str">
        <f>IFERROR(VLOOKUP($C$1,DonnéesDEF!$A$1:$LG$110,35,FALSE),"ERR")</f>
        <v>ERR</v>
      </c>
      <c r="P126" s="340" t="str">
        <f>IFERROR(VLOOKUP($C$1,DonnéesDEF!$A$1:$LG$110,36,FALSE),"ERR")</f>
        <v>ERR</v>
      </c>
    </row>
    <row r="127" spans="1:18" s="59" customFormat="1" ht="33.75" customHeight="1" x14ac:dyDescent="0.25">
      <c r="A127" s="353"/>
      <c r="B127" s="353"/>
      <c r="C127" s="353"/>
      <c r="D127" s="241"/>
      <c r="E127" s="241"/>
      <c r="F127" s="241"/>
      <c r="G127" s="241"/>
      <c r="H127" s="241"/>
      <c r="I127" s="241"/>
      <c r="K127" s="335"/>
      <c r="L127" s="336"/>
      <c r="M127" s="337"/>
      <c r="N127" s="341"/>
      <c r="O127" s="341"/>
      <c r="P127" s="341"/>
    </row>
    <row r="128" spans="1:18" s="59" customFormat="1" ht="33.75" customHeight="1" x14ac:dyDescent="0.25">
      <c r="A128" s="353"/>
      <c r="B128" s="353"/>
      <c r="C128" s="353"/>
      <c r="D128" s="241"/>
      <c r="E128" s="241"/>
      <c r="F128" s="241"/>
      <c r="G128" s="241"/>
      <c r="H128" s="241"/>
      <c r="I128" s="241"/>
      <c r="K128" s="338"/>
      <c r="L128" s="339"/>
      <c r="M128" s="217"/>
      <c r="N128" s="342"/>
      <c r="O128" s="342"/>
      <c r="P128" s="342"/>
    </row>
    <row r="129" spans="1:24" s="59" customFormat="1" ht="33.75" customHeight="1" x14ac:dyDescent="0.25"/>
    <row r="130" spans="1:24" s="59" customFormat="1" ht="33.75" customHeight="1" x14ac:dyDescent="0.25"/>
    <row r="131" spans="1:24" s="59" customFormat="1" ht="33.75" customHeight="1" x14ac:dyDescent="0.25">
      <c r="D131" s="345" t="s">
        <v>253</v>
      </c>
      <c r="E131" s="346"/>
      <c r="F131" s="346"/>
      <c r="G131" s="346"/>
      <c r="H131" s="346"/>
      <c r="I131" s="347"/>
    </row>
    <row r="132" spans="1:24" s="59" customFormat="1" ht="33.75" customHeight="1" x14ac:dyDescent="0.25">
      <c r="D132" s="348"/>
      <c r="E132" s="349"/>
      <c r="F132" s="349"/>
      <c r="G132" s="349"/>
      <c r="H132" s="349"/>
      <c r="I132" s="350"/>
    </row>
    <row r="133" spans="1:24" s="59" customFormat="1" ht="33.75" customHeight="1" x14ac:dyDescent="0.25">
      <c r="D133" s="343" t="s">
        <v>288</v>
      </c>
      <c r="E133" s="343" t="s">
        <v>289</v>
      </c>
      <c r="F133" s="343" t="s">
        <v>290</v>
      </c>
      <c r="G133" s="343" t="s">
        <v>293</v>
      </c>
      <c r="H133" s="343" t="s">
        <v>291</v>
      </c>
      <c r="I133" s="343" t="s">
        <v>292</v>
      </c>
      <c r="N133" s="331" t="s">
        <v>253</v>
      </c>
    </row>
    <row r="134" spans="1:24" s="59" customFormat="1" ht="33.75" customHeight="1" x14ac:dyDescent="0.25">
      <c r="B134" s="95"/>
      <c r="C134" s="95"/>
      <c r="D134" s="344"/>
      <c r="E134" s="344"/>
      <c r="F134" s="344"/>
      <c r="G134" s="344"/>
      <c r="H134" s="344"/>
      <c r="I134" s="344"/>
      <c r="N134" s="331"/>
    </row>
    <row r="135" spans="1:24" s="59" customFormat="1" ht="33.75" customHeight="1" x14ac:dyDescent="0.25">
      <c r="A135" s="332" t="s">
        <v>287</v>
      </c>
      <c r="B135" s="333"/>
      <c r="C135" s="334"/>
      <c r="D135" s="340" t="str">
        <f>IFERROR(IF(VLOOKUP($C$1,DonnéesDEF!$A$1:$LG$110,37,FALSE)&lt;&gt;" ","OUI","NON"),"ERR")</f>
        <v>ERR</v>
      </c>
      <c r="E135" s="340" t="str">
        <f>IFERROR(IF(VLOOKUP($C$1,DonnéesDEF!$A$1:$LG$110,38,FALSE)&lt;&gt;" ","OUI","NON"),"ERR")</f>
        <v>ERR</v>
      </c>
      <c r="F135" s="340" t="str">
        <f>IFERROR(IF(VLOOKUP($C$1,DonnéesDEF!$A$1:$LG$110,39,FALSE)&lt;&gt;" ","OUI","NON"),"ERR")</f>
        <v>ERR</v>
      </c>
      <c r="G135" s="340" t="str">
        <f>IFERROR(IF(VLOOKUP($C$1,DonnéesDEF!$A$1:$LG$110,40,FALSE)&lt;&gt;" ","OUI","NON"),"ERR")</f>
        <v>ERR</v>
      </c>
      <c r="H135" s="340" t="str">
        <f>IFERROR(IF(VLOOKUP($C$1,DonnéesDEF!$A$1:$LG$110,41,FALSE)&lt;&gt;" ","OUI","NON"),"ERR")</f>
        <v>ERR</v>
      </c>
      <c r="I135" s="340" t="str">
        <f>IFERROR(IF(VLOOKUP($C$1,DonnéesDEF!$A$1:$LG$110,42,FALSE)&lt;&gt;" ","OUI","NON"),"ERR")</f>
        <v>ERR</v>
      </c>
      <c r="K135" s="241" t="s">
        <v>294</v>
      </c>
      <c r="L135" s="241"/>
      <c r="M135" s="241"/>
      <c r="N135" s="241" t="str">
        <f>IFERROR(VLOOKUP($C$1,DonnéesDEF!$A$1:$LG$110,43,FALSE),"ERR")</f>
        <v>ERR</v>
      </c>
    </row>
    <row r="136" spans="1:24" s="59" customFormat="1" ht="33.75" customHeight="1" x14ac:dyDescent="0.25">
      <c r="A136" s="335"/>
      <c r="B136" s="336"/>
      <c r="C136" s="337"/>
      <c r="D136" s="341"/>
      <c r="E136" s="341"/>
      <c r="F136" s="341"/>
      <c r="G136" s="341"/>
      <c r="H136" s="341"/>
      <c r="I136" s="341"/>
      <c r="K136" s="241"/>
      <c r="L136" s="241"/>
      <c r="M136" s="241"/>
      <c r="N136" s="241"/>
    </row>
    <row r="137" spans="1:24" s="59" customFormat="1" ht="33.75" customHeight="1" x14ac:dyDescent="0.25">
      <c r="A137" s="338"/>
      <c r="B137" s="339"/>
      <c r="C137" s="217"/>
      <c r="D137" s="342"/>
      <c r="E137" s="342"/>
      <c r="F137" s="342"/>
      <c r="G137" s="342"/>
      <c r="H137" s="342"/>
      <c r="I137" s="342"/>
      <c r="K137" s="241"/>
      <c r="L137" s="241"/>
      <c r="M137" s="241"/>
      <c r="N137" s="241"/>
    </row>
    <row r="138" spans="1:24" s="59" customFormat="1" ht="33.75" customHeight="1" x14ac:dyDescent="0.35">
      <c r="A138" s="42"/>
      <c r="B138" s="43"/>
      <c r="C138" s="43"/>
      <c r="D138" s="43"/>
      <c r="E138" s="43"/>
      <c r="F138" s="43"/>
      <c r="G138" s="43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S138" s="95"/>
      <c r="T138" s="95"/>
      <c r="U138" s="95"/>
      <c r="V138" s="95"/>
      <c r="W138" s="95"/>
      <c r="X138" s="95"/>
    </row>
    <row r="139" spans="1:24" s="107" customFormat="1" ht="67.5" customHeight="1" x14ac:dyDescent="0.25">
      <c r="A139" s="172" t="s">
        <v>9</v>
      </c>
      <c r="B139" s="105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</row>
    <row r="140" spans="1:24" s="60" customFormat="1" ht="33.75" customHeight="1" x14ac:dyDescent="0.25">
      <c r="A140" s="312" t="s">
        <v>724</v>
      </c>
      <c r="B140" s="312"/>
      <c r="C140" s="312"/>
      <c r="D140" s="312"/>
      <c r="E140" s="312"/>
      <c r="F140" s="312"/>
      <c r="G140" s="312"/>
      <c r="H140" s="312"/>
      <c r="I140" s="312"/>
      <c r="J140" s="312"/>
      <c r="K140" s="312"/>
      <c r="L140" s="312"/>
      <c r="M140" s="312"/>
      <c r="N140" s="312"/>
      <c r="O140" s="312"/>
      <c r="P140" s="312"/>
      <c r="Q140" s="312"/>
    </row>
    <row r="141" spans="1:24" s="136" customFormat="1" ht="33.75" customHeight="1" x14ac:dyDescent="0.25">
      <c r="A141" s="135"/>
      <c r="B141" s="115" t="s">
        <v>4</v>
      </c>
      <c r="C141" s="115" t="s">
        <v>5</v>
      </c>
      <c r="D141" s="115" t="s">
        <v>253</v>
      </c>
    </row>
    <row r="142" spans="1:24" s="136" customFormat="1" ht="33.75" customHeight="1" x14ac:dyDescent="0.25">
      <c r="A142" s="137" t="s">
        <v>301</v>
      </c>
      <c r="B142" s="120" t="str">
        <f>IFERROR(VLOOKUP($C$1,DonnéesDEF!$A$1:$LG$110,44,FALSE),"ERR")</f>
        <v>ERR</v>
      </c>
      <c r="C142" s="120" t="str">
        <f>IFERROR(VLOOKUP($C$1,DonnéesDEF!$A$1:$LG$110,45,FALSE),"ERR")</f>
        <v>ERR</v>
      </c>
      <c r="D142" s="120" t="str">
        <f>IFERROR(VLOOKUP($C$1,DonnéesDEF!$A$1:$LG$110,46,FALSE),"ERR")</f>
        <v>ERR</v>
      </c>
    </row>
    <row r="143" spans="1:24" s="136" customFormat="1" ht="33.75" customHeight="1" x14ac:dyDescent="0.25">
      <c r="A143" s="137" t="s">
        <v>306</v>
      </c>
      <c r="B143" s="120" t="str">
        <f>IFERROR(VLOOKUP($C$1,DonnéesDEF!$A$1:$LG$110,50,FALSE),"ERR")</f>
        <v>ERR</v>
      </c>
      <c r="C143" s="120" t="str">
        <f>IFERROR(VLOOKUP($C$1,DonnéesDEF!$A$1:$LG$110,51,FALSE),"ERR")</f>
        <v>ERR</v>
      </c>
      <c r="D143" s="120" t="str">
        <f>IFERROR(VLOOKUP($C$1,DonnéesDEF!$A$1:$LG$110,52,FALSE),"ERR")</f>
        <v>ERR</v>
      </c>
    </row>
    <row r="144" spans="1:24" s="139" customFormat="1" ht="33.75" customHeight="1" x14ac:dyDescent="0.35">
      <c r="A144" s="137" t="s">
        <v>302</v>
      </c>
      <c r="B144" s="138" t="str">
        <f>IFERROR(VLOOKUP($C$1,DonnéesDEF!$A$1:$LG$110,47,FALSE),"ERR")</f>
        <v>ERR</v>
      </c>
      <c r="C144" s="138" t="str">
        <f>IFERROR(VLOOKUP($C$1,DonnéesDEF!$A$1:$LG$110,48,FALSE),"ERR")</f>
        <v>ERR</v>
      </c>
      <c r="D144" s="138" t="str">
        <f>IFERROR(VLOOKUP($C$1,DonnéesDEF!$A$1:$LG$110,49,FALSE),"ERR")</f>
        <v>ERR</v>
      </c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</row>
    <row r="145" spans="1:17" s="139" customFormat="1" ht="33.75" customHeight="1" x14ac:dyDescent="0.35">
      <c r="A145" s="140"/>
      <c r="B145" s="140"/>
      <c r="C145" s="141"/>
    </row>
    <row r="146" spans="1:17" s="139" customFormat="1" ht="33.75" customHeight="1" x14ac:dyDescent="0.35"/>
    <row r="147" spans="1:17" s="139" customFormat="1" ht="33.75" customHeight="1" x14ac:dyDescent="0.35">
      <c r="B147" s="140"/>
      <c r="C147" s="141"/>
    </row>
    <row r="148" spans="1:17" s="139" customFormat="1" ht="33.75" customHeight="1" x14ac:dyDescent="0.35">
      <c r="A148" s="140"/>
      <c r="B148" s="140"/>
      <c r="C148" s="141"/>
    </row>
    <row r="149" spans="1:17" s="117" customFormat="1" ht="33.75" customHeight="1" x14ac:dyDescent="0.35">
      <c r="A149" s="140"/>
      <c r="B149" s="140"/>
      <c r="C149" s="141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</row>
    <row r="150" spans="1:17" s="117" customFormat="1" ht="33.75" customHeight="1" x14ac:dyDescent="0.35">
      <c r="A150" s="121"/>
      <c r="B150" s="121"/>
      <c r="C150" s="121"/>
    </row>
    <row r="151" spans="1:17" s="117" customFormat="1" ht="33.75" customHeight="1" x14ac:dyDescent="0.35">
      <c r="A151" s="121"/>
      <c r="B151" s="121"/>
      <c r="C151" s="121"/>
    </row>
    <row r="152" spans="1:17" s="117" customFormat="1" ht="33.75" customHeight="1" x14ac:dyDescent="0.35">
      <c r="A152" s="121"/>
      <c r="B152" s="121"/>
      <c r="C152" s="121"/>
    </row>
    <row r="153" spans="1:17" s="117" customFormat="1" ht="33.75" customHeight="1" x14ac:dyDescent="0.35"/>
    <row r="154" spans="1:17" s="117" customFormat="1" ht="33.75" customHeight="1" x14ac:dyDescent="0.35"/>
    <row r="155" spans="1:17" s="117" customFormat="1" ht="33.75" customHeight="1" x14ac:dyDescent="0.35">
      <c r="A155" s="126"/>
      <c r="B155" s="142" t="s">
        <v>4</v>
      </c>
      <c r="C155" s="142" t="s">
        <v>5</v>
      </c>
      <c r="D155" s="142" t="s">
        <v>253</v>
      </c>
    </row>
    <row r="156" spans="1:17" s="117" customFormat="1" ht="33.75" customHeight="1" x14ac:dyDescent="0.35">
      <c r="A156" s="143" t="s">
        <v>330</v>
      </c>
      <c r="B156" s="144" t="e">
        <f>(B142-B143)/B142</f>
        <v>#VALUE!</v>
      </c>
      <c r="C156" s="144" t="e">
        <f>(C142-C143)/C142</f>
        <v>#VALUE!</v>
      </c>
      <c r="D156" s="144" t="e">
        <f>(D142-D143)/D142</f>
        <v>#VALUE!</v>
      </c>
    </row>
    <row r="157" spans="1:17" s="117" customFormat="1" ht="33.75" customHeight="1" x14ac:dyDescent="0.35">
      <c r="A157" s="143" t="s">
        <v>329</v>
      </c>
      <c r="B157" s="144" t="e">
        <f>B143/B142</f>
        <v>#VALUE!</v>
      </c>
      <c r="C157" s="144" t="e">
        <f>C143/C142</f>
        <v>#VALUE!</v>
      </c>
      <c r="D157" s="144" t="e">
        <f>D143/D142</f>
        <v>#VALUE!</v>
      </c>
    </row>
    <row r="158" spans="1:17" s="117" customFormat="1" ht="33.75" customHeight="1" x14ac:dyDescent="0.35">
      <c r="A158" s="143" t="s">
        <v>337</v>
      </c>
      <c r="B158" s="145" t="str">
        <f>IFERROR(VLOOKUP($C$1,DonnéesDEF!$A$1:$LG$110,53,FALSE),"ERR")</f>
        <v>ERR</v>
      </c>
      <c r="C158" s="145" t="str">
        <f>IFERROR(VLOOKUP($C$1,DonnéesDEF!$A$1:$LG$110,56,FALSE),"ERR")</f>
        <v>ERR</v>
      </c>
      <c r="D158" s="145" t="str">
        <f>IFERROR(VLOOKUP($C$1,DonnéesDEF!$A$1:$LG$110,59,FALSE),"ERR")</f>
        <v>ERR</v>
      </c>
    </row>
    <row r="159" spans="1:17" s="117" customFormat="1" ht="33.75" customHeight="1" x14ac:dyDescent="0.35">
      <c r="A159" s="143" t="s">
        <v>338</v>
      </c>
      <c r="B159" s="145" t="str">
        <f>IFERROR(VLOOKUP($C$1,DonnéesDEF!$A$1:$LG$110,54,FALSE),"ERR")</f>
        <v>ERR</v>
      </c>
      <c r="C159" s="145" t="str">
        <f>IFERROR(VLOOKUP($C$1,DonnéesDEF!$A$1:$LG$110,57,FALSE),"ERR")</f>
        <v>ERR</v>
      </c>
      <c r="D159" s="145" t="str">
        <f>IFERROR(VLOOKUP($C$1,DonnéesDEF!$A$1:$LG$110,60,FALSE),"ERR")</f>
        <v>ERR</v>
      </c>
    </row>
    <row r="160" spans="1:17" s="117" customFormat="1" ht="33.75" customHeight="1" x14ac:dyDescent="0.35">
      <c r="A160" s="143" t="s">
        <v>339</v>
      </c>
      <c r="B160" s="145" t="str">
        <f>IFERROR(VLOOKUP($C$1,DonnéesDEF!$A$1:$LG$110,55,FALSE),"ERR")</f>
        <v>ERR</v>
      </c>
      <c r="C160" s="145" t="str">
        <f>IFERROR(VLOOKUP($C$1,DonnéesDEF!$A$1:$LG$110,58,FALSE),"ERR")</f>
        <v>ERR</v>
      </c>
      <c r="D160" s="145" t="str">
        <f>IFERROR(VLOOKUP($C$1,DonnéesDEF!$A$1:$LG$110,61,FALSE),"ERR")</f>
        <v>ERR</v>
      </c>
    </row>
    <row r="161" spans="1:6" s="117" customFormat="1" ht="33.75" customHeight="1" x14ac:dyDescent="0.35">
      <c r="A161" s="143" t="s">
        <v>337</v>
      </c>
      <c r="B161" s="144" t="e">
        <f t="shared" ref="B161:D163" si="0">B158/SUM(B$158:B$160)</f>
        <v>#VALUE!</v>
      </c>
      <c r="C161" s="144" t="e">
        <f t="shared" si="0"/>
        <v>#VALUE!</v>
      </c>
      <c r="D161" s="144" t="e">
        <f t="shared" si="0"/>
        <v>#VALUE!</v>
      </c>
    </row>
    <row r="162" spans="1:6" s="117" customFormat="1" ht="33.75" customHeight="1" x14ac:dyDescent="0.35">
      <c r="A162" s="143" t="s">
        <v>338</v>
      </c>
      <c r="B162" s="144" t="e">
        <f t="shared" si="0"/>
        <v>#VALUE!</v>
      </c>
      <c r="C162" s="144" t="e">
        <f t="shared" si="0"/>
        <v>#VALUE!</v>
      </c>
      <c r="D162" s="144" t="e">
        <f t="shared" si="0"/>
        <v>#VALUE!</v>
      </c>
    </row>
    <row r="163" spans="1:6" s="117" customFormat="1" ht="33.75" customHeight="1" x14ac:dyDescent="0.35">
      <c r="A163" s="143" t="s">
        <v>339</v>
      </c>
      <c r="B163" s="144" t="e">
        <f t="shared" si="0"/>
        <v>#VALUE!</v>
      </c>
      <c r="C163" s="144" t="e">
        <f t="shared" si="0"/>
        <v>#VALUE!</v>
      </c>
      <c r="D163" s="144" t="e">
        <f t="shared" si="0"/>
        <v>#VALUE!</v>
      </c>
    </row>
    <row r="164" spans="1:6" s="117" customFormat="1" ht="33.75" customHeight="1" x14ac:dyDescent="0.35">
      <c r="C164" s="122"/>
    </row>
    <row r="165" spans="1:6" s="117" customFormat="1" ht="33.75" customHeight="1" x14ac:dyDescent="0.35">
      <c r="C165" s="122"/>
    </row>
    <row r="166" spans="1:6" s="117" customFormat="1" ht="33.75" customHeight="1" x14ac:dyDescent="0.35">
      <c r="C166" s="122"/>
    </row>
    <row r="167" spans="1:6" s="117" customFormat="1" ht="33.75" customHeight="1" x14ac:dyDescent="0.35"/>
    <row r="168" spans="1:6" s="117" customFormat="1" ht="33.75" customHeight="1" x14ac:dyDescent="0.35"/>
    <row r="169" spans="1:6" s="117" customFormat="1" ht="33.75" customHeight="1" x14ac:dyDescent="0.35"/>
    <row r="170" spans="1:6" s="117" customFormat="1" ht="33.75" customHeight="1" x14ac:dyDescent="0.35"/>
    <row r="171" spans="1:6" s="117" customFormat="1" ht="33.75" customHeight="1" x14ac:dyDescent="0.35"/>
    <row r="172" spans="1:6" s="117" customFormat="1" ht="33.75" customHeight="1" x14ac:dyDescent="0.35">
      <c r="B172" s="125"/>
      <c r="C172" s="125"/>
      <c r="D172" s="125"/>
      <c r="E172" s="125"/>
      <c r="F172" s="125"/>
    </row>
    <row r="173" spans="1:6" s="117" customFormat="1" ht="33.75" customHeight="1" x14ac:dyDescent="0.35">
      <c r="B173" s="125"/>
      <c r="C173" s="125"/>
      <c r="D173" s="125"/>
      <c r="E173" s="125"/>
      <c r="F173" s="125"/>
    </row>
    <row r="174" spans="1:6" s="117" customFormat="1" ht="33.75" customHeight="1" x14ac:dyDescent="0.35">
      <c r="B174" s="125"/>
      <c r="C174" s="125"/>
      <c r="D174" s="125"/>
      <c r="E174" s="125"/>
      <c r="F174" s="125"/>
    </row>
    <row r="175" spans="1:6" s="117" customFormat="1" ht="33.75" customHeight="1" x14ac:dyDescent="0.35">
      <c r="B175" s="125"/>
      <c r="C175" s="125"/>
      <c r="D175" s="125"/>
      <c r="E175" s="125"/>
      <c r="F175" s="125"/>
    </row>
    <row r="176" spans="1:6" s="117" customFormat="1" ht="33.75" customHeight="1" x14ac:dyDescent="0.35">
      <c r="B176" s="125"/>
      <c r="C176" s="125"/>
      <c r="D176" s="125"/>
      <c r="E176" s="125"/>
      <c r="F176" s="125"/>
    </row>
    <row r="177" spans="2:11" s="117" customFormat="1" ht="33.75" customHeight="1" x14ac:dyDescent="0.35">
      <c r="B177" s="125"/>
      <c r="C177" s="125"/>
      <c r="D177" s="125"/>
      <c r="E177" s="125"/>
      <c r="F177" s="125"/>
    </row>
    <row r="178" spans="2:11" s="117" customFormat="1" ht="33.75" customHeight="1" x14ac:dyDescent="0.35">
      <c r="B178" s="125"/>
      <c r="C178" s="125"/>
      <c r="D178" s="125"/>
      <c r="E178" s="125"/>
      <c r="F178" s="125"/>
    </row>
    <row r="179" spans="2:11" s="117" customFormat="1" ht="33.75" customHeight="1" x14ac:dyDescent="0.35">
      <c r="B179" s="125"/>
      <c r="C179" s="125"/>
      <c r="D179" s="125"/>
      <c r="E179" s="125"/>
      <c r="F179" s="125"/>
    </row>
    <row r="180" spans="2:11" s="117" customFormat="1" ht="33.75" customHeight="1" x14ac:dyDescent="0.35">
      <c r="B180" s="125"/>
      <c r="C180" s="125"/>
      <c r="D180" s="125"/>
      <c r="E180" s="125"/>
      <c r="F180" s="125"/>
    </row>
    <row r="181" spans="2:11" s="117" customFormat="1" ht="33.75" customHeight="1" x14ac:dyDescent="0.35">
      <c r="B181" s="125"/>
      <c r="C181" s="125"/>
      <c r="D181" s="125"/>
      <c r="E181" s="125"/>
      <c r="F181" s="125"/>
    </row>
    <row r="182" spans="2:11" s="117" customFormat="1" ht="33.75" customHeight="1" x14ac:dyDescent="0.35">
      <c r="B182" s="125"/>
      <c r="C182" s="125"/>
      <c r="D182" s="125"/>
      <c r="E182" s="125"/>
      <c r="F182" s="125"/>
    </row>
    <row r="183" spans="2:11" s="117" customFormat="1" ht="33.75" customHeight="1" x14ac:dyDescent="0.35">
      <c r="B183" s="125"/>
      <c r="C183" s="125"/>
      <c r="D183" s="125"/>
      <c r="E183" s="125"/>
      <c r="F183" s="125"/>
    </row>
    <row r="184" spans="2:11" s="117" customFormat="1" ht="33.75" customHeight="1" x14ac:dyDescent="0.35">
      <c r="B184" s="125"/>
      <c r="C184" s="125"/>
      <c r="D184" s="125"/>
      <c r="E184" s="125"/>
      <c r="F184" s="125"/>
    </row>
    <row r="185" spans="2:11" s="117" customFormat="1" ht="33.75" customHeight="1" x14ac:dyDescent="0.35">
      <c r="B185" s="125"/>
      <c r="C185" s="125"/>
      <c r="D185" s="125"/>
      <c r="E185" s="125"/>
      <c r="F185" s="125"/>
    </row>
    <row r="186" spans="2:11" s="117" customFormat="1" ht="33.75" customHeight="1" x14ac:dyDescent="0.35">
      <c r="B186" s="125"/>
      <c r="C186" s="125"/>
      <c r="D186" s="125"/>
      <c r="E186" s="125"/>
      <c r="F186" s="125"/>
    </row>
    <row r="187" spans="2:11" s="117" customFormat="1" ht="33.75" customHeight="1" x14ac:dyDescent="0.35">
      <c r="B187" s="125"/>
      <c r="C187" s="125"/>
      <c r="D187" s="125"/>
      <c r="E187" s="125"/>
      <c r="F187" s="125"/>
    </row>
    <row r="188" spans="2:11" s="117" customFormat="1" ht="33.75" customHeight="1" x14ac:dyDescent="0.35">
      <c r="B188" s="125"/>
      <c r="C188" s="125"/>
      <c r="D188" s="125"/>
      <c r="E188" s="125"/>
      <c r="F188" s="125"/>
    </row>
    <row r="189" spans="2:11" ht="33.75" customHeight="1" x14ac:dyDescent="0.35">
      <c r="C189" s="157"/>
      <c r="D189" s="157"/>
    </row>
    <row r="190" spans="2:11" ht="33.75" customHeight="1" x14ac:dyDescent="0.35">
      <c r="C190" s="157"/>
      <c r="D190" s="157"/>
    </row>
    <row r="191" spans="2:11" ht="31.5" customHeight="1" thickBot="1" x14ac:dyDescent="0.4">
      <c r="C191" s="157"/>
      <c r="D191" s="157"/>
    </row>
    <row r="192" spans="2:11" ht="33.75" customHeight="1" x14ac:dyDescent="0.35">
      <c r="C192" s="157"/>
      <c r="D192" s="157"/>
      <c r="E192" s="313" t="s">
        <v>597</v>
      </c>
      <c r="F192" s="314"/>
      <c r="G192" s="315"/>
      <c r="I192" s="325" t="s">
        <v>721</v>
      </c>
      <c r="J192" s="326"/>
      <c r="K192" s="327"/>
    </row>
    <row r="193" spans="1:18" ht="33.75" customHeight="1" thickBot="1" x14ac:dyDescent="0.4">
      <c r="C193" s="157"/>
      <c r="D193" s="157"/>
      <c r="E193" s="182" t="s">
        <v>4</v>
      </c>
      <c r="F193" s="183" t="s">
        <v>5</v>
      </c>
      <c r="G193" s="184" t="s">
        <v>253</v>
      </c>
      <c r="I193" s="328"/>
      <c r="J193" s="329"/>
      <c r="K193" s="330"/>
    </row>
    <row r="194" spans="1:18" ht="33.75" customHeight="1" x14ac:dyDescent="0.35">
      <c r="C194" s="300" t="s">
        <v>666</v>
      </c>
      <c r="D194" s="301"/>
      <c r="E194" s="304" t="s">
        <v>685</v>
      </c>
      <c r="F194" s="305"/>
      <c r="G194" s="306"/>
      <c r="I194" s="328"/>
      <c r="J194" s="329"/>
      <c r="K194" s="330"/>
    </row>
    <row r="195" spans="1:18" ht="33.75" customHeight="1" x14ac:dyDescent="0.35">
      <c r="C195" s="302"/>
      <c r="D195" s="303"/>
      <c r="E195" s="307"/>
      <c r="F195" s="308"/>
      <c r="G195" s="309"/>
      <c r="I195" s="328"/>
      <c r="J195" s="329"/>
      <c r="K195" s="330"/>
    </row>
    <row r="196" spans="1:18" ht="33.75" customHeight="1" x14ac:dyDescent="0.35">
      <c r="C196" s="298" t="s">
        <v>669</v>
      </c>
      <c r="D196" s="299"/>
      <c r="E196" s="185">
        <v>3.9215686274509803E-2</v>
      </c>
      <c r="F196" s="186">
        <v>1.9607843137254902E-2</v>
      </c>
      <c r="G196" s="187">
        <v>1.0101010101010102E-2</v>
      </c>
      <c r="I196" s="328"/>
      <c r="J196" s="329"/>
      <c r="K196" s="330"/>
    </row>
    <row r="197" spans="1:18" ht="33.75" customHeight="1" x14ac:dyDescent="0.35">
      <c r="C197" s="298" t="s">
        <v>668</v>
      </c>
      <c r="D197" s="299"/>
      <c r="E197" s="185">
        <v>0.19607843137254902</v>
      </c>
      <c r="F197" s="186">
        <v>6.8627450980392163E-2</v>
      </c>
      <c r="G197" s="187">
        <v>2.0202020202020204E-2</v>
      </c>
      <c r="I197" s="322" t="s">
        <v>4</v>
      </c>
      <c r="J197" s="323" t="s">
        <v>5</v>
      </c>
      <c r="K197" s="324" t="s">
        <v>253</v>
      </c>
    </row>
    <row r="198" spans="1:18" ht="33.75" customHeight="1" x14ac:dyDescent="0.35">
      <c r="C198" s="298" t="s">
        <v>667</v>
      </c>
      <c r="D198" s="299"/>
      <c r="E198" s="185">
        <v>0.22549019607843138</v>
      </c>
      <c r="F198" s="186">
        <v>0.13725490196078433</v>
      </c>
      <c r="G198" s="187">
        <v>7.0707070707070704E-2</v>
      </c>
      <c r="I198" s="322"/>
      <c r="J198" s="323"/>
      <c r="K198" s="324"/>
    </row>
    <row r="199" spans="1:18" ht="33.75" customHeight="1" x14ac:dyDescent="0.35">
      <c r="C199" s="298" t="s">
        <v>599</v>
      </c>
      <c r="D199" s="299"/>
      <c r="E199" s="185">
        <v>0.28431372549019607</v>
      </c>
      <c r="F199" s="186">
        <v>0.24509803921568626</v>
      </c>
      <c r="G199" s="187">
        <v>0.12121212121212122</v>
      </c>
      <c r="I199" s="316" t="str">
        <f>IFERROR(VLOOKUP($C$1,DonnéesDEF!$A$1:$LG$110,261,FALSE),"ERR")</f>
        <v>ERR</v>
      </c>
      <c r="J199" s="318" t="str">
        <f>IFERROR(VLOOKUP($C$1,DonnéesDEF!$A$1:$LG$110,262,FALSE),"ERR")</f>
        <v>ERR</v>
      </c>
      <c r="K199" s="320" t="str">
        <f>IFERROR(VLOOKUP($C$1,DonnéesDEF!$A$1:$LG$110,263,FALSE),"ERR")</f>
        <v>ERR</v>
      </c>
    </row>
    <row r="200" spans="1:18" ht="33.75" customHeight="1" thickBot="1" x14ac:dyDescent="0.4">
      <c r="C200" s="310" t="s">
        <v>598</v>
      </c>
      <c r="D200" s="311"/>
      <c r="E200" s="188">
        <v>0.22549019607843138</v>
      </c>
      <c r="F200" s="189">
        <v>0.52941176470588236</v>
      </c>
      <c r="G200" s="190">
        <v>0.6767676767676768</v>
      </c>
      <c r="I200" s="317"/>
      <c r="J200" s="319"/>
      <c r="K200" s="321"/>
    </row>
    <row r="204" spans="1:18" ht="33.75" customHeight="1" x14ac:dyDescent="0.35">
      <c r="B204" s="86"/>
      <c r="C204" s="32"/>
    </row>
    <row r="205" spans="1:18" s="101" customFormat="1" ht="67.5" customHeight="1" x14ac:dyDescent="0.25">
      <c r="A205" s="173" t="s">
        <v>660</v>
      </c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</row>
    <row r="206" spans="1:18" s="59" customFormat="1" ht="33.75" customHeight="1" x14ac:dyDescent="0.35">
      <c r="A206" s="73"/>
      <c r="B206" s="32"/>
      <c r="C206" s="7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</row>
    <row r="207" spans="1:18" s="59" customFormat="1" ht="33.75" customHeight="1" x14ac:dyDescent="0.35">
      <c r="A207" s="73"/>
      <c r="B207" s="274" t="s">
        <v>340</v>
      </c>
      <c r="C207" s="283"/>
      <c r="D207" s="283"/>
      <c r="E207" s="275"/>
      <c r="F207" s="32"/>
      <c r="G207" s="288" t="s">
        <v>670</v>
      </c>
      <c r="H207" s="289"/>
      <c r="I207" s="290"/>
      <c r="J207" s="32"/>
      <c r="K207" s="274" t="s">
        <v>658</v>
      </c>
      <c r="L207" s="275"/>
      <c r="M207" s="32"/>
      <c r="N207" s="274" t="s">
        <v>639</v>
      </c>
      <c r="O207" s="275"/>
      <c r="P207" s="32"/>
    </row>
    <row r="208" spans="1:18" s="59" customFormat="1" ht="33.75" customHeight="1" x14ac:dyDescent="0.35">
      <c r="A208" s="73"/>
      <c r="B208" s="276"/>
      <c r="C208" s="284"/>
      <c r="D208" s="284"/>
      <c r="E208" s="277"/>
      <c r="F208" s="32"/>
      <c r="G208" s="291"/>
      <c r="H208" s="292"/>
      <c r="I208" s="293"/>
      <c r="J208" s="32"/>
      <c r="K208" s="276"/>
      <c r="L208" s="277"/>
      <c r="M208" s="32"/>
      <c r="N208" s="276"/>
      <c r="O208" s="277"/>
      <c r="P208" s="32"/>
    </row>
    <row r="209" spans="1:16" s="59" customFormat="1" ht="33.75" customHeight="1" x14ac:dyDescent="0.35">
      <c r="A209" s="73"/>
      <c r="B209" s="276"/>
      <c r="C209" s="284"/>
      <c r="D209" s="284"/>
      <c r="E209" s="277"/>
      <c r="F209" s="32"/>
      <c r="G209" s="291"/>
      <c r="H209" s="292"/>
      <c r="I209" s="293"/>
      <c r="J209" s="32"/>
      <c r="K209" s="276"/>
      <c r="L209" s="277"/>
      <c r="M209" s="32"/>
      <c r="N209" s="276"/>
      <c r="O209" s="277"/>
      <c r="P209" s="32"/>
    </row>
    <row r="210" spans="1:16" s="59" customFormat="1" ht="33.75" customHeight="1" x14ac:dyDescent="0.2">
      <c r="A210" s="73"/>
      <c r="B210" s="285"/>
      <c r="C210" s="286"/>
      <c r="D210" s="286"/>
      <c r="E210" s="287"/>
      <c r="G210" s="294"/>
      <c r="H210" s="295"/>
      <c r="I210" s="296"/>
      <c r="K210" s="276"/>
      <c r="L210" s="277"/>
      <c r="N210" s="276"/>
      <c r="O210" s="277"/>
    </row>
    <row r="211" spans="1:16" s="59" customFormat="1" ht="33.75" customHeight="1" x14ac:dyDescent="0.2">
      <c r="A211" s="73"/>
      <c r="B211" s="278" t="s">
        <v>253</v>
      </c>
      <c r="C211" s="297"/>
      <c r="D211" s="297"/>
      <c r="E211" s="279"/>
      <c r="F211" s="152"/>
      <c r="G211" s="278" t="s">
        <v>253</v>
      </c>
      <c r="H211" s="297"/>
      <c r="I211" s="279"/>
      <c r="J211" s="152"/>
      <c r="K211" s="278" t="s">
        <v>253</v>
      </c>
      <c r="L211" s="279"/>
      <c r="M211" s="152"/>
      <c r="N211" s="278" t="s">
        <v>253</v>
      </c>
      <c r="O211" s="279"/>
    </row>
    <row r="212" spans="1:16" s="59" customFormat="1" ht="33.75" customHeight="1" x14ac:dyDescent="0.25">
      <c r="B212" s="282" t="s">
        <v>334</v>
      </c>
      <c r="C212" s="282" t="s">
        <v>335</v>
      </c>
      <c r="D212" s="282" t="s">
        <v>333</v>
      </c>
      <c r="E212" s="282" t="s">
        <v>336</v>
      </c>
      <c r="G212" s="282" t="s">
        <v>331</v>
      </c>
      <c r="H212" s="282" t="s">
        <v>332</v>
      </c>
      <c r="I212" s="282" t="s">
        <v>325</v>
      </c>
      <c r="K212" s="280" t="s">
        <v>658</v>
      </c>
      <c r="L212" s="281"/>
      <c r="N212" s="280" t="s">
        <v>659</v>
      </c>
      <c r="O212" s="281"/>
    </row>
    <row r="213" spans="1:16" s="59" customFormat="1" ht="33.75" customHeight="1" x14ac:dyDescent="0.25">
      <c r="B213" s="282"/>
      <c r="C213" s="282"/>
      <c r="D213" s="282"/>
      <c r="E213" s="282"/>
      <c r="G213" s="282"/>
      <c r="H213" s="282"/>
      <c r="I213" s="282"/>
      <c r="K213" s="280"/>
      <c r="L213" s="281"/>
      <c r="N213" s="280"/>
      <c r="O213" s="281"/>
    </row>
    <row r="214" spans="1:16" s="59" customFormat="1" ht="33.75" customHeight="1" x14ac:dyDescent="0.2">
      <c r="A214" s="73"/>
      <c r="B214" s="282"/>
      <c r="C214" s="282"/>
      <c r="D214" s="282"/>
      <c r="E214" s="282"/>
      <c r="G214" s="282"/>
      <c r="H214" s="282"/>
      <c r="I214" s="282"/>
      <c r="K214" s="280"/>
      <c r="L214" s="281"/>
      <c r="N214" s="280"/>
      <c r="O214" s="281"/>
    </row>
    <row r="215" spans="1:16" s="59" customFormat="1" ht="33.75" customHeight="1" x14ac:dyDescent="0.2">
      <c r="A215" s="73"/>
      <c r="B215" s="282"/>
      <c r="C215" s="282"/>
      <c r="D215" s="282"/>
      <c r="E215" s="282"/>
      <c r="G215" s="282"/>
      <c r="H215" s="282"/>
      <c r="I215" s="282"/>
      <c r="K215" s="280"/>
      <c r="L215" s="281"/>
      <c r="N215" s="280"/>
      <c r="O215" s="281"/>
    </row>
    <row r="216" spans="1:16" s="59" customFormat="1" ht="33.75" customHeight="1" x14ac:dyDescent="0.2">
      <c r="A216" s="73"/>
      <c r="B216" s="282"/>
      <c r="C216" s="282"/>
      <c r="D216" s="282"/>
      <c r="E216" s="282"/>
      <c r="G216" s="282"/>
      <c r="H216" s="282"/>
      <c r="I216" s="282"/>
      <c r="K216" s="280"/>
      <c r="L216" s="281"/>
      <c r="N216" s="280"/>
      <c r="O216" s="281"/>
    </row>
    <row r="217" spans="1:16" s="59" customFormat="1" ht="33.75" customHeight="1" x14ac:dyDescent="0.2">
      <c r="A217" s="73"/>
      <c r="B217" s="282"/>
      <c r="C217" s="282"/>
      <c r="D217" s="282"/>
      <c r="E217" s="282"/>
      <c r="G217" s="282"/>
      <c r="H217" s="282"/>
      <c r="I217" s="282"/>
      <c r="K217" s="280"/>
      <c r="L217" s="281"/>
      <c r="N217" s="280"/>
      <c r="O217" s="281"/>
    </row>
    <row r="218" spans="1:16" s="59" customFormat="1" ht="33.75" customHeight="1" x14ac:dyDescent="0.2">
      <c r="A218" s="73"/>
      <c r="B218" s="282"/>
      <c r="C218" s="282"/>
      <c r="D218" s="282"/>
      <c r="E218" s="282"/>
      <c r="G218" s="282"/>
      <c r="H218" s="282"/>
      <c r="I218" s="282"/>
      <c r="K218" s="280"/>
      <c r="L218" s="281"/>
      <c r="N218" s="280"/>
      <c r="O218" s="281"/>
    </row>
    <row r="219" spans="1:16" s="59" customFormat="1" ht="33.75" customHeight="1" x14ac:dyDescent="0.2">
      <c r="A219" s="73"/>
      <c r="B219" s="282"/>
      <c r="C219" s="282"/>
      <c r="D219" s="282"/>
      <c r="E219" s="282"/>
      <c r="G219" s="282"/>
      <c r="H219" s="282"/>
      <c r="I219" s="282"/>
      <c r="K219" s="280"/>
      <c r="L219" s="281"/>
      <c r="N219" s="280"/>
      <c r="O219" s="281"/>
    </row>
    <row r="220" spans="1:16" s="59" customFormat="1" ht="33.75" customHeight="1" x14ac:dyDescent="0.25">
      <c r="B220" s="282"/>
      <c r="C220" s="282"/>
      <c r="D220" s="282"/>
      <c r="E220" s="282"/>
      <c r="G220" s="282"/>
      <c r="H220" s="282"/>
      <c r="I220" s="282"/>
      <c r="K220" s="280"/>
      <c r="L220" s="281"/>
      <c r="N220" s="280"/>
      <c r="O220" s="281"/>
    </row>
    <row r="221" spans="1:16" ht="33.75" customHeight="1" x14ac:dyDescent="0.35">
      <c r="A221" s="59"/>
      <c r="B221" s="282"/>
      <c r="C221" s="282"/>
      <c r="D221" s="282"/>
      <c r="E221" s="282"/>
      <c r="G221" s="282"/>
      <c r="H221" s="282"/>
      <c r="I221" s="282"/>
      <c r="K221" s="280"/>
      <c r="L221" s="281"/>
      <c r="N221" s="280"/>
      <c r="O221" s="281"/>
    </row>
    <row r="222" spans="1:16" s="75" customFormat="1" ht="33.75" customHeight="1" x14ac:dyDescent="0.7">
      <c r="A222" s="74"/>
      <c r="B222" s="282"/>
      <c r="C222" s="282"/>
      <c r="D222" s="282"/>
      <c r="E222" s="282"/>
      <c r="G222" s="282"/>
      <c r="H222" s="282"/>
      <c r="I222" s="282"/>
      <c r="K222" s="280"/>
      <c r="L222" s="281"/>
      <c r="N222" s="280"/>
      <c r="O222" s="281"/>
    </row>
    <row r="223" spans="1:16" s="74" customFormat="1" ht="33.75" customHeight="1" x14ac:dyDescent="0.7">
      <c r="A223" s="73"/>
      <c r="B223" s="282"/>
      <c r="C223" s="282"/>
      <c r="D223" s="282"/>
      <c r="E223" s="282"/>
      <c r="F223" s="59"/>
      <c r="G223" s="282"/>
      <c r="H223" s="282"/>
      <c r="I223" s="282"/>
      <c r="J223" s="59"/>
      <c r="K223" s="280"/>
      <c r="L223" s="281"/>
      <c r="N223" s="280"/>
      <c r="O223" s="281"/>
    </row>
    <row r="224" spans="1:16" ht="33.75" customHeight="1" x14ac:dyDescent="0.35">
      <c r="A224" s="73"/>
      <c r="B224" s="92" t="str">
        <f>IFERROR(VLOOKUP($C$1,DonnéesDEF!$A$1:$LG$110,62,FALSE),"ERR")</f>
        <v>ERR</v>
      </c>
      <c r="C224" s="92" t="str">
        <f>IFERROR(VLOOKUP($C$1,DonnéesDEF!$A$1:$LG$110,63,FALSE),"ERR")</f>
        <v>ERR</v>
      </c>
      <c r="D224" s="92" t="str">
        <f>IFERROR(VLOOKUP($C$1,DonnéesDEF!$A$1:$LG$110,64,FALSE),"ERR")</f>
        <v>ERR</v>
      </c>
      <c r="E224" s="92" t="str">
        <f>IFERROR(VLOOKUP($C$1,DonnéesDEF!$A$1:$LG$110,65,FALSE),"ERR")</f>
        <v>ERR</v>
      </c>
      <c r="F224" s="59"/>
      <c r="G224" s="62" t="str">
        <f>IFERROR(VLOOKUP($C$1,DonnéesDEF!$A$1:$LG$110,66,FALSE),"ERR")</f>
        <v>ERR</v>
      </c>
      <c r="H224" s="62" t="str">
        <f>IFERROR(VLOOKUP($C$1,DonnéesDEF!$A$1:$LG$110,67,FALSE),"ERR")</f>
        <v>ERR</v>
      </c>
      <c r="I224" s="62" t="str">
        <f>IFERROR(VLOOKUP($C$1,DonnéesDEF!$A$1:$LG$110,68,FALSE),"ERR")</f>
        <v>ERR</v>
      </c>
      <c r="J224" s="59"/>
      <c r="K224" s="272" t="str">
        <f>IFERROR(VLOOKUP($C$1,DonnéesDEF!$A$1:$LG$110,284,FALSE),"ERR")</f>
        <v>ERR</v>
      </c>
      <c r="L224" s="273"/>
      <c r="N224" s="272" t="str">
        <f>IFERROR(VLOOKUP($C$1,DonnéesDEF!$A$1:$LG$110,272,FALSE),"ERR")</f>
        <v>ERR</v>
      </c>
      <c r="O224" s="273"/>
    </row>
    <row r="225" spans="1:18" ht="33.75" customHeight="1" x14ac:dyDescent="0.35">
      <c r="A225" s="73"/>
      <c r="B225" s="94"/>
      <c r="C225" s="94"/>
      <c r="D225" s="94"/>
      <c r="E225" s="94"/>
      <c r="F225" s="59"/>
      <c r="G225" s="59"/>
      <c r="H225" s="59"/>
      <c r="I225" s="59"/>
      <c r="J225" s="59"/>
      <c r="K225" s="114"/>
      <c r="L225" s="114"/>
      <c r="N225" s="114"/>
      <c r="O225" s="114"/>
    </row>
    <row r="226" spans="1:18" s="101" customFormat="1" ht="67.5" customHeight="1" x14ac:dyDescent="0.25">
      <c r="A226" s="174" t="s">
        <v>686</v>
      </c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</row>
    <row r="227" spans="1:18" s="146" customFormat="1" ht="33.75" customHeight="1" x14ac:dyDescent="0.35">
      <c r="B227" s="148">
        <v>2019</v>
      </c>
      <c r="C227" s="148">
        <v>2020</v>
      </c>
      <c r="D227" s="148">
        <v>2021</v>
      </c>
    </row>
    <row r="228" spans="1:18" s="146" customFormat="1" ht="33.75" customHeight="1" x14ac:dyDescent="0.35">
      <c r="A228" s="149" t="s">
        <v>541</v>
      </c>
      <c r="B228" s="149"/>
      <c r="C228" s="149"/>
      <c r="D228" s="149"/>
      <c r="E228" s="149"/>
    </row>
    <row r="229" spans="1:18" s="146" customFormat="1" ht="33.75" customHeight="1" x14ac:dyDescent="0.35">
      <c r="A229" s="150" t="s">
        <v>687</v>
      </c>
      <c r="B229" s="123" t="str">
        <f>IFERROR(VLOOKUP($C$1,DonnéesDEF!$A$1:$LG$110,95,FALSE),"ERR")</f>
        <v>ERR</v>
      </c>
      <c r="C229" s="123" t="str">
        <f>IFERROR(VLOOKUP($C$1,DonnéesDEF!$A$1:$LG$110,149,FALSE),"ERR")</f>
        <v>ERR</v>
      </c>
      <c r="D229" s="123" t="str">
        <f>IFERROR(VLOOKUP($C$1,DonnéesDEF!$A$1:$LG$110,204,FALSE),"ERR")</f>
        <v>ERR</v>
      </c>
    </row>
    <row r="230" spans="1:18" s="146" customFormat="1" ht="33.75" customHeight="1" x14ac:dyDescent="0.35">
      <c r="A230" s="150" t="s">
        <v>688</v>
      </c>
      <c r="B230" s="123" t="str">
        <f>IFERROR(VLOOKUP($C$1,DonnéesDEF!$A$1:$LG$110,96,FALSE),"ERR")</f>
        <v>ERR</v>
      </c>
      <c r="C230" s="123" t="str">
        <f>IFERROR(VLOOKUP($C$1,DonnéesDEF!$A$1:$LG$110,150,FALSE),"ERR")</f>
        <v>ERR</v>
      </c>
      <c r="D230" s="123" t="str">
        <f>IFERROR(VLOOKUP($C$1,DonnéesDEF!$A$1:$LG$110,205,FALSE),"ERR")</f>
        <v>ERR</v>
      </c>
    </row>
    <row r="231" spans="1:18" s="146" customFormat="1" ht="33.75" customHeight="1" x14ac:dyDescent="0.35">
      <c r="A231" s="150" t="s">
        <v>550</v>
      </c>
      <c r="B231" s="123" t="str">
        <f>IFERROR(VLOOKUP($C$1,DonnéesDEF!$A$1:$LG$110,97,FALSE),"ERR")</f>
        <v>ERR</v>
      </c>
      <c r="C231" s="123" t="str">
        <f>IFERROR(VLOOKUP($C$1,DonnéesDEF!$A$1:$LG$110,151,FALSE),"ERR")</f>
        <v>ERR</v>
      </c>
      <c r="D231" s="123" t="str">
        <f>IFERROR(VLOOKUP($C$1,DonnéesDEF!$A$1:$LG$110,206,FALSE),"ERR")</f>
        <v>ERR</v>
      </c>
      <c r="E231" s="151"/>
      <c r="F231" s="151"/>
      <c r="G231" s="151"/>
    </row>
    <row r="232" spans="1:18" s="146" customFormat="1" ht="33.75" customHeight="1" x14ac:dyDescent="0.35">
      <c r="A232" s="150" t="s">
        <v>559</v>
      </c>
      <c r="B232" s="123" t="str">
        <f>IFERROR(VLOOKUP($C$1,DonnéesDEF!$A$1:$LG$110,112,FALSE),"ERR")</f>
        <v>ERR</v>
      </c>
      <c r="C232" s="123" t="str">
        <f>IFERROR(VLOOKUP($C$1,DonnéesDEF!$A$1:$LG$110,166,FALSE),"ERR")</f>
        <v>ERR</v>
      </c>
      <c r="D232" s="123" t="str">
        <f>IFERROR(VLOOKUP($C$1,DonnéesDEF!$A$1:$LG$110,221,FALSE),"ERR")</f>
        <v>ERR</v>
      </c>
      <c r="E232" s="151"/>
      <c r="F232" s="151"/>
      <c r="G232" s="151"/>
    </row>
    <row r="233" spans="1:18" s="146" customFormat="1" ht="33.75" customHeight="1" x14ac:dyDescent="0.35"/>
    <row r="234" spans="1:18" s="146" customFormat="1" ht="33.75" customHeight="1" x14ac:dyDescent="0.35">
      <c r="A234" s="149" t="s">
        <v>542</v>
      </c>
      <c r="B234" s="149"/>
      <c r="C234" s="149"/>
      <c r="D234" s="149"/>
    </row>
    <row r="235" spans="1:18" s="146" customFormat="1" ht="33.75" customHeight="1" x14ac:dyDescent="0.35">
      <c r="A235" s="150" t="s">
        <v>545</v>
      </c>
      <c r="B235" s="123" t="str">
        <f>IFERROR(VLOOKUP($C$1,DonnéesDEF!$A$1:$LG$110,98,FALSE),"ERR")</f>
        <v>ERR</v>
      </c>
      <c r="C235" s="123" t="str">
        <f>IFERROR(VLOOKUP($C$1,DonnéesDEF!$A$1:$LG$110,152,FALSE),"ERR")</f>
        <v>ERR</v>
      </c>
      <c r="D235" s="123" t="str">
        <f>IFERROR(VLOOKUP($C$1,DonnéesDEF!$A$1:$LG$110,207,FALSE),"ERR")</f>
        <v>ERR</v>
      </c>
    </row>
    <row r="236" spans="1:18" s="146" customFormat="1" ht="33.75" customHeight="1" x14ac:dyDescent="0.35">
      <c r="A236" s="150" t="s">
        <v>546</v>
      </c>
      <c r="B236" s="123" t="str">
        <f>IFERROR(VLOOKUP($C$1,DonnéesDEF!$A$1:$LG$110,99,FALSE),"ERR")</f>
        <v>ERR</v>
      </c>
      <c r="C236" s="123" t="str">
        <f>IFERROR(VLOOKUP($C$1,DonnéesDEF!$A$1:$LG$110,153,FALSE),"ERR")</f>
        <v>ERR</v>
      </c>
      <c r="D236" s="123" t="str">
        <f>IFERROR(VLOOKUP($C$1,DonnéesDEF!$A$1:$LG$110,208,FALSE),"ERR")</f>
        <v>ERR</v>
      </c>
    </row>
    <row r="237" spans="1:18" s="146" customFormat="1" ht="33.75" customHeight="1" x14ac:dyDescent="0.35">
      <c r="A237" s="150" t="s">
        <v>547</v>
      </c>
      <c r="B237" s="123" t="str">
        <f>IFERROR(VLOOKUP($C$1,DonnéesDEF!$A$1:$LG$110,100,FALSE),"ERR")</f>
        <v>ERR</v>
      </c>
      <c r="C237" s="123" t="str">
        <f>IFERROR(VLOOKUP($C$1,DonnéesDEF!$A$1:$LG$110,154,FALSE),"ERR")</f>
        <v>ERR</v>
      </c>
      <c r="D237" s="123" t="str">
        <f>IFERROR(VLOOKUP($C$1,DonnéesDEF!$A$1:$LG$110,209,FALSE),"ERR")</f>
        <v>ERR</v>
      </c>
    </row>
    <row r="238" spans="1:18" s="146" customFormat="1" ht="33.75" customHeight="1" x14ac:dyDescent="0.35">
      <c r="A238" s="150" t="s">
        <v>557</v>
      </c>
      <c r="B238" s="123" t="str">
        <f>IFERROR(VLOOKUP($C$1,DonnéesDEF!$A$1:$LG$110,110,FALSE),"ERR")</f>
        <v>ERR</v>
      </c>
      <c r="C238" s="123" t="str">
        <f>IFERROR(VLOOKUP($C$1,DonnéesDEF!$A$1:$LG$110,164,FALSE),"ERR")</f>
        <v>ERR</v>
      </c>
      <c r="D238" s="123" t="str">
        <f>IFERROR(VLOOKUP($C$1,DonnéesDEF!$A$1:$LG$110,219,FALSE),"ERR")</f>
        <v>ERR</v>
      </c>
    </row>
    <row r="239" spans="1:18" s="146" customFormat="1" ht="33.75" customHeight="1" x14ac:dyDescent="0.35">
      <c r="A239" s="150" t="s">
        <v>553</v>
      </c>
      <c r="B239" s="123" t="str">
        <f>IFERROR(VLOOKUP($C$1,DonnéesDEF!$A$1:$LG$110,106,FALSE),"ERR")</f>
        <v>ERR</v>
      </c>
      <c r="C239" s="123" t="str">
        <f>IFERROR(VLOOKUP($C$1,DonnéesDEF!$A$1:$LG$110,160,FALSE),"ERR")</f>
        <v>ERR</v>
      </c>
      <c r="D239" s="123" t="str">
        <f>IFERROR(VLOOKUP($C$1,DonnéesDEF!$A$1:$LG$110,215,FALSE),"ERR")</f>
        <v>ERR</v>
      </c>
    </row>
    <row r="240" spans="1:18" s="146" customFormat="1" ht="33.75" customHeight="1" x14ac:dyDescent="0.35">
      <c r="A240" s="150" t="s">
        <v>554</v>
      </c>
      <c r="B240" s="123" t="str">
        <f>IFERROR(VLOOKUP($C$1,DonnéesDEF!$A$1:$LG$110,107,FALSE),"ERR")</f>
        <v>ERR</v>
      </c>
      <c r="C240" s="123" t="str">
        <f>IFERROR(VLOOKUP($C$1,DonnéesDEF!$A$1:$LG$110,161,FALSE),"ERR")</f>
        <v>ERR</v>
      </c>
      <c r="D240" s="123" t="str">
        <f>IFERROR(VLOOKUP($C$1,DonnéesDEF!$A$1:$LG$110,216,FALSE),"ERR")</f>
        <v>ERR</v>
      </c>
    </row>
    <row r="241" spans="1:4" s="146" customFormat="1" ht="33.75" customHeight="1" x14ac:dyDescent="0.35">
      <c r="A241" s="150" t="s">
        <v>556</v>
      </c>
      <c r="B241" s="123" t="str">
        <f>IFERROR(VLOOKUP($C$1,DonnéesDEF!$A$1:$LG$110,109,FALSE),"ERR")</f>
        <v>ERR</v>
      </c>
      <c r="C241" s="123" t="str">
        <f>IFERROR(VLOOKUP($C$1,DonnéesDEF!$A$1:$LG$110,163,FALSE),"ERR")</f>
        <v>ERR</v>
      </c>
      <c r="D241" s="123" t="str">
        <f>IFERROR(VLOOKUP($C$1,DonnéesDEF!$A$1:$LG$110,218,FALSE),"ERR")</f>
        <v>ERR</v>
      </c>
    </row>
    <row r="242" spans="1:4" s="146" customFormat="1" ht="33.75" customHeight="1" x14ac:dyDescent="0.35">
      <c r="A242" s="150" t="s">
        <v>555</v>
      </c>
      <c r="B242" s="123" t="str">
        <f>IFERROR(VLOOKUP($C$1,DonnéesDEF!$A$1:$LG$110,108,FALSE),"ERR")</f>
        <v>ERR</v>
      </c>
      <c r="C242" s="123" t="str">
        <f>IFERROR(VLOOKUP($C$1,DonnéesDEF!$A$1:$LG$110,162,FALSE),"ERR")</f>
        <v>ERR</v>
      </c>
      <c r="D242" s="123" t="str">
        <f>IFERROR(VLOOKUP($C$1,DonnéesDEF!$A$1:$LG$110,217,FALSE),"ERR")</f>
        <v>ERR</v>
      </c>
    </row>
    <row r="243" spans="1:4" s="146" customFormat="1" ht="33.75" customHeight="1" x14ac:dyDescent="0.35">
      <c r="A243" s="150" t="s">
        <v>549</v>
      </c>
      <c r="B243" s="123" t="str">
        <f>IFERROR(VLOOKUP($C$1,DonnéesDEF!$A$1:$LG$110,102,FALSE),"ERR")</f>
        <v>ERR</v>
      </c>
      <c r="C243" s="123" t="str">
        <f>IFERROR(VLOOKUP($C$1,DonnéesDEF!$A$1:$LG$110,156,FALSE),"ERR")</f>
        <v>ERR</v>
      </c>
      <c r="D243" s="123" t="str">
        <f>IFERROR(VLOOKUP($C$1,DonnéesDEF!$A$1:$LG$110,211,FALSE),"ERR")</f>
        <v>ERR</v>
      </c>
    </row>
    <row r="244" spans="1:4" s="146" customFormat="1" ht="33.75" customHeight="1" x14ac:dyDescent="0.35">
      <c r="A244" s="150" t="s">
        <v>689</v>
      </c>
      <c r="B244" s="123" t="str">
        <f>IFERROR(VLOOKUP($C$1,DonnéesDEF!$A$1:$LG$110,103,FALSE),"ERR")</f>
        <v>ERR</v>
      </c>
      <c r="C244" s="123" t="str">
        <f>IFERROR(VLOOKUP($C$1,DonnéesDEF!$A$1:$LG$110,157,FALSE),"ERR")</f>
        <v>ERR</v>
      </c>
      <c r="D244" s="123" t="str">
        <f>IFERROR(VLOOKUP($C$1,DonnéesDEF!$A$1:$LG$110,212,FALSE),"ERR")</f>
        <v>ERR</v>
      </c>
    </row>
    <row r="245" spans="1:4" s="146" customFormat="1" ht="33.75" customHeight="1" x14ac:dyDescent="0.35">
      <c r="A245" s="150" t="s">
        <v>548</v>
      </c>
      <c r="B245" s="123" t="str">
        <f>IFERROR(VLOOKUP($C$1,DonnéesDEF!$A$1:$LG$110,101,FALSE),"ERR")</f>
        <v>ERR</v>
      </c>
      <c r="C245" s="123" t="str">
        <f>IFERROR(VLOOKUP($C$1,DonnéesDEF!$A$1:$LG$110,155,FALSE),"ERR")</f>
        <v>ERR</v>
      </c>
      <c r="D245" s="123" t="str">
        <f>IFERROR(VLOOKUP($C$1,DonnéesDEF!$A$1:$LG$110,210,FALSE),"ERR")</f>
        <v>ERR</v>
      </c>
    </row>
    <row r="246" spans="1:4" s="146" customFormat="1" ht="33.75" customHeight="1" x14ac:dyDescent="0.35">
      <c r="A246" s="150" t="s">
        <v>551</v>
      </c>
      <c r="B246" s="123" t="str">
        <f>IFERROR(VLOOKUP($C$1,DonnéesDEF!$A$1:$LG$110,104,FALSE),"ERR")</f>
        <v>ERR</v>
      </c>
      <c r="C246" s="123" t="str">
        <f>IFERROR(VLOOKUP($C$1,DonnéesDEF!$A$1:$LG$110,158,FALSE),"ERR")</f>
        <v>ERR</v>
      </c>
      <c r="D246" s="123" t="str">
        <f>IFERROR(VLOOKUP($C$1,DonnéesDEF!$A$1:$LG$110,213,FALSE),"ERR")</f>
        <v>ERR</v>
      </c>
    </row>
    <row r="247" spans="1:4" s="146" customFormat="1" ht="33.75" customHeight="1" x14ac:dyDescent="0.35">
      <c r="A247" s="150" t="s">
        <v>552</v>
      </c>
      <c r="B247" s="123" t="str">
        <f>IFERROR(VLOOKUP($C$1,DonnéesDEF!$A$1:$LG$110,105,FALSE),"ERR")</f>
        <v>ERR</v>
      </c>
      <c r="C247" s="123" t="str">
        <f>IFERROR(VLOOKUP($C$1,DonnéesDEF!$A$1:$LG$110,159,FALSE),"ERR")</f>
        <v>ERR</v>
      </c>
      <c r="D247" s="123" t="str">
        <f>IFERROR(VLOOKUP($C$1,DonnéesDEF!$A$1:$LG$110,214,FALSE),"ERR")</f>
        <v>ERR</v>
      </c>
    </row>
    <row r="248" spans="1:4" s="146" customFormat="1" ht="33.75" customHeight="1" x14ac:dyDescent="0.35">
      <c r="A248" s="150" t="s">
        <v>558</v>
      </c>
      <c r="B248" s="123" t="str">
        <f>IFERROR(VLOOKUP($C$1,DonnéesDEF!$A$1:$LG$110,111,FALSE),"ERR")</f>
        <v>ERR</v>
      </c>
      <c r="C248" s="123" t="str">
        <f>IFERROR(VLOOKUP($C$1,DonnéesDEF!$A$1:$LG$110,165,FALSE),"ERR")</f>
        <v>ERR</v>
      </c>
      <c r="D248" s="123" t="str">
        <f>IFERROR(VLOOKUP($C$1,DonnéesDEF!$A$1:$LG$110,220,FALSE),"ERR")</f>
        <v>ERR</v>
      </c>
    </row>
    <row r="249" spans="1:4" s="146" customFormat="1" ht="33.75" customHeight="1" x14ac:dyDescent="0.35"/>
    <row r="250" spans="1:4" s="146" customFormat="1" ht="33.75" customHeight="1" x14ac:dyDescent="0.35">
      <c r="A250" s="149" t="s">
        <v>543</v>
      </c>
      <c r="B250" s="149"/>
      <c r="C250" s="149"/>
      <c r="D250" s="149"/>
    </row>
    <row r="251" spans="1:4" s="146" customFormat="1" ht="33.75" customHeight="1" x14ac:dyDescent="0.35">
      <c r="A251" s="150" t="s">
        <v>560</v>
      </c>
      <c r="B251" s="123" t="str">
        <f>IFERROR(VLOOKUP($C$1,DonnéesDEF!$A$1:$LG$110,113,FALSE),"ERR")</f>
        <v>ERR</v>
      </c>
      <c r="C251" s="123" t="str">
        <f>IFERROR(VLOOKUP($C$1,DonnéesDEF!$A$1:$LG$110,167,FALSE),"ERR")</f>
        <v>ERR</v>
      </c>
      <c r="D251" s="123" t="str">
        <f>IFERROR(VLOOKUP($C$1,DonnéesDEF!$A$1:$LG$110,222,FALSE),"ERR")</f>
        <v>ERR</v>
      </c>
    </row>
    <row r="252" spans="1:4" s="146" customFormat="1" ht="33.75" customHeight="1" x14ac:dyDescent="0.35">
      <c r="A252" s="150" t="s">
        <v>561</v>
      </c>
      <c r="B252" s="123" t="str">
        <f>IFERROR(VLOOKUP($C$1,DonnéesDEF!$A$1:$LG$110,114,FALSE),"ERR")</f>
        <v>ERR</v>
      </c>
      <c r="C252" s="123" t="str">
        <f>IFERROR(VLOOKUP($C$1,DonnéesDEF!$A$1:$LG$110,168,FALSE),"ERR")</f>
        <v>ERR</v>
      </c>
      <c r="D252" s="123" t="str">
        <f>IFERROR(VLOOKUP($C$1,DonnéesDEF!$A$1:$LG$110,223,FALSE),"ERR")</f>
        <v>ERR</v>
      </c>
    </row>
    <row r="253" spans="1:4" s="146" customFormat="1" ht="33.75" customHeight="1" x14ac:dyDescent="0.35">
      <c r="A253" s="150" t="s">
        <v>562</v>
      </c>
      <c r="B253" s="123" t="str">
        <f>IFERROR(VLOOKUP($C$1,DonnéesDEF!$A$1:$LG$110,115,FALSE),"ERR")</f>
        <v>ERR</v>
      </c>
      <c r="C253" s="123" t="str">
        <f>IFERROR(VLOOKUP($C$1,DonnéesDEF!$A$1:$LG$110,169,FALSE),"ERR")</f>
        <v>ERR</v>
      </c>
      <c r="D253" s="123" t="str">
        <f>IFERROR(VLOOKUP($C$1,DonnéesDEF!$A$1:$LG$110,224,FALSE),"ERR")</f>
        <v>ERR</v>
      </c>
    </row>
    <row r="254" spans="1:4" s="146" customFormat="1" ht="33.75" customHeight="1" x14ac:dyDescent="0.35">
      <c r="A254" s="150" t="s">
        <v>564</v>
      </c>
      <c r="B254" s="123" t="str">
        <f>IFERROR(VLOOKUP($C$1,DonnéesDEF!$A$1:$LG$110,117,FALSE),"ERR")</f>
        <v>ERR</v>
      </c>
      <c r="C254" s="123" t="str">
        <f>IFERROR(VLOOKUP($C$1,DonnéesDEF!$A$1:$LG$110,171,FALSE),"ERR")</f>
        <v>ERR</v>
      </c>
      <c r="D254" s="123" t="str">
        <f>IFERROR(VLOOKUP($C$1,DonnéesDEF!$A$1:$LG$110,226,FALSE),"ERR")</f>
        <v>ERR</v>
      </c>
    </row>
    <row r="255" spans="1:4" s="146" customFormat="1" ht="33.75" customHeight="1" x14ac:dyDescent="0.35">
      <c r="A255" s="150" t="s">
        <v>563</v>
      </c>
      <c r="B255" s="123" t="str">
        <f>IFERROR(VLOOKUP($C$1,DonnéesDEF!$A$1:$LG$110,116,FALSE),"ERR")</f>
        <v>ERR</v>
      </c>
      <c r="C255" s="123" t="str">
        <f>IFERROR(VLOOKUP($C$1,DonnéesDEF!$A$1:$LG$110,170,FALSE),"ERR")</f>
        <v>ERR</v>
      </c>
      <c r="D255" s="123" t="str">
        <f>IFERROR(VLOOKUP($C$1,DonnéesDEF!$A$1:$LG$110,225,FALSE),"ERR")</f>
        <v>ERR</v>
      </c>
    </row>
    <row r="256" spans="1:4" s="146" customFormat="1" ht="33.75" customHeight="1" x14ac:dyDescent="0.35"/>
    <row r="257" spans="1:4" s="146" customFormat="1" ht="33.75" customHeight="1" x14ac:dyDescent="0.35">
      <c r="A257" s="149" t="s">
        <v>544</v>
      </c>
      <c r="B257" s="149"/>
      <c r="C257" s="149"/>
      <c r="D257" s="149"/>
    </row>
    <row r="258" spans="1:4" s="146" customFormat="1" ht="33.75" customHeight="1" x14ac:dyDescent="0.35">
      <c r="A258" s="150" t="s">
        <v>565</v>
      </c>
      <c r="B258" s="123" t="str">
        <f>IFERROR(VLOOKUP($C$1,DonnéesDEF!$A$1:$LG$110,118,FALSE),"ERR")</f>
        <v>ERR</v>
      </c>
      <c r="C258" s="123" t="str">
        <f>IFERROR(VLOOKUP($C$1,DonnéesDEF!$A$1:$LG$110,172,FALSE),"ERR")</f>
        <v>ERR</v>
      </c>
      <c r="D258" s="123" t="str">
        <f>IFERROR(VLOOKUP($C$1,DonnéesDEF!$A$1:$LG$110,227,FALSE),"ERR")</f>
        <v>ERR</v>
      </c>
    </row>
    <row r="259" spans="1:4" s="146" customFormat="1" ht="33.75" customHeight="1" x14ac:dyDescent="0.35">
      <c r="A259" s="150" t="s">
        <v>566</v>
      </c>
      <c r="B259" s="123" t="str">
        <f>IFERROR(VLOOKUP($C$1,DonnéesDEF!$A$1:$LG$110,119,FALSE),"ERR")</f>
        <v>ERR</v>
      </c>
      <c r="C259" s="123" t="str">
        <f>IFERROR(VLOOKUP($C$1,DonnéesDEF!$A$1:$LG$110,173,FALSE),"ERR")</f>
        <v>ERR</v>
      </c>
      <c r="D259" s="123" t="str">
        <f>IFERROR(VLOOKUP($C$1,DonnéesDEF!$A$1:$LG$110,228,FALSE),"ERR")</f>
        <v>ERR</v>
      </c>
    </row>
    <row r="260" spans="1:4" s="146" customFormat="1" ht="33.75" customHeight="1" x14ac:dyDescent="0.35">
      <c r="A260" s="150" t="s">
        <v>567</v>
      </c>
      <c r="B260" s="123" t="str">
        <f>IFERROR(VLOOKUP($C$1,DonnéesDEF!$A$1:$LG$110,120,FALSE),"ERR")</f>
        <v>ERR</v>
      </c>
      <c r="C260" s="123" t="str">
        <f>IFERROR(VLOOKUP($C$1,DonnéesDEF!$A$1:$LG$110,174,FALSE),"ERR")</f>
        <v>ERR</v>
      </c>
      <c r="D260" s="123" t="str">
        <f>IFERROR(VLOOKUP($C$1,DonnéesDEF!$A$1:$LG$110,229,FALSE),"ERR")</f>
        <v>ERR</v>
      </c>
    </row>
    <row r="261" spans="1:4" s="146" customFormat="1" ht="33.75" customHeight="1" x14ac:dyDescent="0.35">
      <c r="A261" s="150" t="s">
        <v>569</v>
      </c>
      <c r="B261" s="123" t="str">
        <f>IFERROR(VLOOKUP($C$1,DonnéesDEF!$A$1:$LG$110,122,FALSE),"ERR")</f>
        <v>ERR</v>
      </c>
      <c r="C261" s="123" t="str">
        <f>IFERROR(VLOOKUP($C$1,DonnéesDEF!$A$1:$LG$110,176,FALSE),"ERR")</f>
        <v>ERR</v>
      </c>
      <c r="D261" s="123" t="str">
        <f>IFERROR(VLOOKUP($C$1,DonnéesDEF!$A$1:$LG$110,231,FALSE),"ERR")</f>
        <v>ERR</v>
      </c>
    </row>
    <row r="262" spans="1:4" s="146" customFormat="1" ht="33.75" customHeight="1" x14ac:dyDescent="0.35">
      <c r="A262" s="150" t="s">
        <v>570</v>
      </c>
      <c r="B262" s="123" t="str">
        <f>IFERROR(VLOOKUP($C$1,DonnéesDEF!$A$1:$LG$110,123,FALSE),"ERR")</f>
        <v>ERR</v>
      </c>
      <c r="C262" s="123" t="str">
        <f>IFERROR(VLOOKUP($C$1,DonnéesDEF!$A$1:$LG$110,177,FALSE),"ERR")</f>
        <v>ERR</v>
      </c>
      <c r="D262" s="123" t="str">
        <f>IFERROR(VLOOKUP($C$1,DonnéesDEF!$A$1:$LG$110,232,FALSE),"ERR")</f>
        <v>ERR</v>
      </c>
    </row>
    <row r="263" spans="1:4" s="146" customFormat="1" ht="33.75" customHeight="1" x14ac:dyDescent="0.35">
      <c r="A263" s="150" t="s">
        <v>571</v>
      </c>
      <c r="B263" s="123" t="str">
        <f>IFERROR(VLOOKUP($C$1,DonnéesDEF!$A$1:$LG$110,124,FALSE),"ERR")</f>
        <v>ERR</v>
      </c>
      <c r="C263" s="123" t="str">
        <f>IFERROR(VLOOKUP($C$1,DonnéesDEF!$A$1:$LG$110,178,FALSE),"ERR")</f>
        <v>ERR</v>
      </c>
      <c r="D263" s="123" t="str">
        <f>IFERROR(VLOOKUP($C$1,DonnéesDEF!$A$1:$LG$110,233,FALSE),"ERR")</f>
        <v>ERR</v>
      </c>
    </row>
    <row r="264" spans="1:4" s="146" customFormat="1" ht="33.75" customHeight="1" x14ac:dyDescent="0.35">
      <c r="A264" s="150" t="s">
        <v>572</v>
      </c>
      <c r="B264" s="123" t="str">
        <f>IFERROR(VLOOKUP($C$1,DonnéesDEF!$A$1:$LG$110,125,FALSE),"ERR")</f>
        <v>ERR</v>
      </c>
      <c r="C264" s="123" t="str">
        <f>IFERROR(VLOOKUP($C$1,DonnéesDEF!$A$1:$LG$110,179,FALSE),"ERR")</f>
        <v>ERR</v>
      </c>
      <c r="D264" s="123" t="str">
        <f>IFERROR(VLOOKUP($C$1,DonnéesDEF!$A$1:$LG$110,234,FALSE),"ERR")</f>
        <v>ERR</v>
      </c>
    </row>
    <row r="265" spans="1:4" s="146" customFormat="1" ht="33.75" customHeight="1" x14ac:dyDescent="0.35">
      <c r="A265" s="150" t="s">
        <v>573</v>
      </c>
      <c r="B265" s="123" t="str">
        <f>IFERROR(VLOOKUP($C$1,DonnéesDEF!$A$1:$LG$110,126,FALSE),"ERR")</f>
        <v>ERR</v>
      </c>
      <c r="C265" s="123" t="str">
        <f>IFERROR(VLOOKUP($C$1,DonnéesDEF!$A$1:$LG$110,180,FALSE),"ERR")</f>
        <v>ERR</v>
      </c>
      <c r="D265" s="123" t="str">
        <f>IFERROR(VLOOKUP($C$1,DonnéesDEF!$A$1:$LG$110,235,FALSE),"ERR")</f>
        <v>ERR</v>
      </c>
    </row>
    <row r="266" spans="1:4" s="146" customFormat="1" ht="33.75" customHeight="1" x14ac:dyDescent="0.35">
      <c r="A266" s="150" t="s">
        <v>574</v>
      </c>
      <c r="B266" s="123" t="str">
        <f>IFERROR(VLOOKUP($C$1,DonnéesDEF!$A$1:$LG$110,127,FALSE),"ERR")</f>
        <v>ERR</v>
      </c>
      <c r="C266" s="123" t="str">
        <f>IFERROR(VLOOKUP($C$1,DonnéesDEF!$A$1:$LG$110,181,FALSE),"ERR")</f>
        <v>ERR</v>
      </c>
      <c r="D266" s="123" t="str">
        <f>IFERROR(VLOOKUP($C$1,DonnéesDEF!$A$1:$LG$110,236,FALSE),"ERR")</f>
        <v>ERR</v>
      </c>
    </row>
    <row r="267" spans="1:4" s="146" customFormat="1" ht="33.75" customHeight="1" x14ac:dyDescent="0.35">
      <c r="A267" s="150" t="s">
        <v>575</v>
      </c>
      <c r="B267" s="123" t="str">
        <f>IFERROR(VLOOKUP($C$1,DonnéesDEF!$A$1:$LG$110,128,FALSE),"ERR")</f>
        <v>ERR</v>
      </c>
      <c r="C267" s="123" t="str">
        <f>IFERROR(VLOOKUP($C$1,DonnéesDEF!$A$1:$LG$110,182,FALSE),"ERR")</f>
        <v>ERR</v>
      </c>
      <c r="D267" s="123" t="str">
        <f>IFERROR(VLOOKUP($C$1,DonnéesDEF!$A$1:$LG$110,237,FALSE),"ERR")</f>
        <v>ERR</v>
      </c>
    </row>
    <row r="268" spans="1:4" s="146" customFormat="1" ht="33.75" customHeight="1" x14ac:dyDescent="0.35">
      <c r="A268" s="150" t="s">
        <v>576</v>
      </c>
      <c r="B268" s="123" t="str">
        <f>IFERROR(VLOOKUP($C$1,DonnéesDEF!$A$1:$LG$110,129,FALSE),"ERR")</f>
        <v>ERR</v>
      </c>
      <c r="C268" s="123" t="str">
        <f>IFERROR(VLOOKUP($C$1,DonnéesDEF!$A$1:$LG$110,183,FALSE),"ERR")</f>
        <v>ERR</v>
      </c>
      <c r="D268" s="123" t="str">
        <f>IFERROR(VLOOKUP($C$1,DonnéesDEF!$A$1:$LG$110,238,FALSE),"ERR")</f>
        <v>ERR</v>
      </c>
    </row>
    <row r="269" spans="1:4" s="146" customFormat="1" ht="33.75" customHeight="1" x14ac:dyDescent="0.35">
      <c r="A269" s="150" t="s">
        <v>577</v>
      </c>
      <c r="B269" s="123" t="str">
        <f>IFERROR(VLOOKUP($C$1,DonnéesDEF!$A$1:$LG$110,130,FALSE),"ERR")</f>
        <v>ERR</v>
      </c>
      <c r="C269" s="123" t="str">
        <f>IFERROR(VLOOKUP($C$1,DonnéesDEF!$A$1:$LG$110,184,FALSE),"ERR")</f>
        <v>ERR</v>
      </c>
      <c r="D269" s="123" t="str">
        <f>IFERROR(VLOOKUP($C$1,DonnéesDEF!$A$1:$LG$110,239,FALSE),"ERR")</f>
        <v>ERR</v>
      </c>
    </row>
    <row r="270" spans="1:4" s="146" customFormat="1" ht="33.75" customHeight="1" x14ac:dyDescent="0.35">
      <c r="A270" s="150" t="s">
        <v>578</v>
      </c>
      <c r="B270" s="123" t="str">
        <f>IFERROR(VLOOKUP($C$1,DonnéesDEF!$A$1:$LG$110,131,FALSE),"ERR")</f>
        <v>ERR</v>
      </c>
      <c r="C270" s="123" t="str">
        <f>IFERROR(VLOOKUP($C$1,DonnéesDEF!$A$1:$LG$110,185,FALSE),"ERR")</f>
        <v>ERR</v>
      </c>
      <c r="D270" s="123" t="str">
        <f>IFERROR(VLOOKUP($C$1,DonnéesDEF!$A$1:$LG$110,240,FALSE),"ERR")</f>
        <v>ERR</v>
      </c>
    </row>
    <row r="271" spans="1:4" s="146" customFormat="1" ht="33.75" customHeight="1" x14ac:dyDescent="0.35">
      <c r="A271" s="150" t="s">
        <v>579</v>
      </c>
      <c r="B271" s="123" t="str">
        <f>IFERROR(VLOOKUP($C$1,DonnéesDEF!$A$1:$LG$110,132,FALSE),"ERR")</f>
        <v>ERR</v>
      </c>
      <c r="C271" s="123" t="str">
        <f>IFERROR(VLOOKUP($C$1,DonnéesDEF!$A$1:$LG$110,186,FALSE),"ERR")</f>
        <v>ERR</v>
      </c>
      <c r="D271" s="123" t="str">
        <f>IFERROR(VLOOKUP($C$1,DonnéesDEF!$A$1:$LG$110,241,FALSE),"ERR")</f>
        <v>ERR</v>
      </c>
    </row>
    <row r="272" spans="1:4" s="146" customFormat="1" ht="33.75" customHeight="1" x14ac:dyDescent="0.35">
      <c r="A272" s="150" t="s">
        <v>580</v>
      </c>
      <c r="B272" s="123" t="str">
        <f>IFERROR(VLOOKUP($C$1,DonnéesDEF!$A$1:$LG$110,133,FALSE),"ERR")</f>
        <v>ERR</v>
      </c>
      <c r="C272" s="123" t="str">
        <f>IFERROR(VLOOKUP($C$1,DonnéesDEF!$A$1:$LG$110,187,FALSE),"ERR")</f>
        <v>ERR</v>
      </c>
      <c r="D272" s="123" t="str">
        <f>IFERROR(VLOOKUP($C$1,DonnéesDEF!$A$1:$LG$110,242,FALSE),"ERR")</f>
        <v>ERR</v>
      </c>
    </row>
    <row r="273" spans="1:4" s="146" customFormat="1" ht="33.75" customHeight="1" x14ac:dyDescent="0.35">
      <c r="A273" s="150" t="s">
        <v>581</v>
      </c>
      <c r="B273" s="123" t="str">
        <f>IFERROR(VLOOKUP($C$1,DonnéesDEF!$A$1:$LG$110,134,FALSE),"ERR")</f>
        <v>ERR</v>
      </c>
      <c r="C273" s="123" t="str">
        <f>IFERROR(VLOOKUP($C$1,DonnéesDEF!$A$1:$LG$110,188,FALSE),"ERR")</f>
        <v>ERR</v>
      </c>
      <c r="D273" s="123" t="str">
        <f>IFERROR(VLOOKUP($C$1,DonnéesDEF!$A$1:$LG$110,243,FALSE),"ERR")</f>
        <v>ERR</v>
      </c>
    </row>
    <row r="274" spans="1:4" s="146" customFormat="1" ht="33.75" customHeight="1" x14ac:dyDescent="0.35">
      <c r="A274" s="150" t="s">
        <v>582</v>
      </c>
      <c r="B274" s="123" t="str">
        <f>IFERROR(VLOOKUP($C$1,DonnéesDEF!$A$1:$LG$110,135,FALSE),"ERR")</f>
        <v>ERR</v>
      </c>
      <c r="C274" s="123" t="str">
        <f>IFERROR(VLOOKUP($C$1,DonnéesDEF!$A$1:$LG$110,189,FALSE),"ERR")</f>
        <v>ERR</v>
      </c>
      <c r="D274" s="123" t="str">
        <f>IFERROR(VLOOKUP($C$1,DonnéesDEF!$A$1:$LG$110,244,FALSE),"ERR")</f>
        <v>ERR</v>
      </c>
    </row>
    <row r="275" spans="1:4" s="146" customFormat="1" ht="33.75" customHeight="1" x14ac:dyDescent="0.35">
      <c r="A275" s="150" t="s">
        <v>583</v>
      </c>
      <c r="B275" s="123" t="str">
        <f>IFERROR(VLOOKUP($C$1,DonnéesDEF!$A$1:$LG$110,136,FALSE),"ERR")</f>
        <v>ERR</v>
      </c>
      <c r="C275" s="123" t="str">
        <f>IFERROR(VLOOKUP($C$1,DonnéesDEF!$A$1:$LG$110,190,FALSE),"ERR")</f>
        <v>ERR</v>
      </c>
      <c r="D275" s="123" t="str">
        <f>IFERROR(VLOOKUP($C$1,DonnéesDEF!$A$1:$LG$110,245,FALSE),"ERR")</f>
        <v>ERR</v>
      </c>
    </row>
    <row r="276" spans="1:4" s="146" customFormat="1" ht="33.75" customHeight="1" x14ac:dyDescent="0.35">
      <c r="A276" s="150" t="s">
        <v>692</v>
      </c>
      <c r="B276" s="123" t="str">
        <f>IFERROR(VLOOKUP($C$1,DonnéesDEF!$A$1:$LG$110,137,FALSE),"ERR")</f>
        <v>ERR</v>
      </c>
      <c r="C276" s="123" t="str">
        <f>IFERROR(VLOOKUP($C$1,DonnéesDEF!$A$1:$LG$110,191,FALSE),"ERR")</f>
        <v>ERR</v>
      </c>
      <c r="D276" s="123" t="str">
        <f>IFERROR(VLOOKUP($C$1,DonnéesDEF!$A$1:$LG$110,246,FALSE),"ERR")</f>
        <v>ERR</v>
      </c>
    </row>
    <row r="277" spans="1:4" s="146" customFormat="1" ht="33.75" customHeight="1" x14ac:dyDescent="0.35">
      <c r="A277" s="150" t="s">
        <v>584</v>
      </c>
      <c r="B277" s="123" t="str">
        <f>IFERROR(VLOOKUP($C$1,DonnéesDEF!$A$1:$LG$110,138,FALSE),"ERR")</f>
        <v>ERR</v>
      </c>
      <c r="C277" s="123" t="str">
        <f>IFERROR(VLOOKUP($C$1,DonnéesDEF!$A$1:$LG$110,192,FALSE),"ERR")</f>
        <v>ERR</v>
      </c>
      <c r="D277" s="123" t="str">
        <f>IFERROR(VLOOKUP($C$1,DonnéesDEF!$A$1:$LG$110,247,FALSE),"ERR")</f>
        <v>ERR</v>
      </c>
    </row>
    <row r="278" spans="1:4" s="146" customFormat="1" ht="33.75" customHeight="1" x14ac:dyDescent="0.35">
      <c r="A278" s="150" t="s">
        <v>585</v>
      </c>
      <c r="B278" s="123" t="str">
        <f>IFERROR(VLOOKUP($C$1,DonnéesDEF!$A$1:$LG$110,139,FALSE),"ERR")</f>
        <v>ERR</v>
      </c>
      <c r="C278" s="123" t="str">
        <f>IFERROR(VLOOKUP($C$1,DonnéesDEF!$A$1:$LG$110,193,FALSE),"ERR")</f>
        <v>ERR</v>
      </c>
      <c r="D278" s="123" t="str">
        <f>IFERROR(VLOOKUP($C$1,DonnéesDEF!$A$1:$LG$110,248,FALSE),"ERR")</f>
        <v>ERR</v>
      </c>
    </row>
    <row r="279" spans="1:4" s="146" customFormat="1" ht="33.75" customHeight="1" x14ac:dyDescent="0.35">
      <c r="A279" s="150" t="s">
        <v>586</v>
      </c>
      <c r="B279" s="123" t="str">
        <f>IFERROR(VLOOKUP($C$1,DonnéesDEF!$A$1:$LG$110,140,FALSE),"ERR")</f>
        <v>ERR</v>
      </c>
      <c r="C279" s="123" t="str">
        <f>IFERROR(VLOOKUP($C$1,DonnéesDEF!$A$1:$LG$110,194,FALSE),"ERR")</f>
        <v>ERR</v>
      </c>
      <c r="D279" s="123" t="str">
        <f>IFERROR(VLOOKUP($C$1,DonnéesDEF!$A$1:$LG$110,249,FALSE),"ERR")</f>
        <v>ERR</v>
      </c>
    </row>
    <row r="280" spans="1:4" s="146" customFormat="1" ht="33.75" customHeight="1" x14ac:dyDescent="0.35">
      <c r="A280" s="150" t="s">
        <v>587</v>
      </c>
      <c r="B280" s="123" t="str">
        <f>IFERROR(VLOOKUP($C$1,DonnéesDEF!$A$1:$LG$110,141,FALSE),"ERR")</f>
        <v>ERR</v>
      </c>
      <c r="C280" s="123" t="str">
        <f>IFERROR(VLOOKUP($C$1,DonnéesDEF!$A$1:$LG$110,195,FALSE),"ERR")</f>
        <v>ERR</v>
      </c>
      <c r="D280" s="123" t="str">
        <f>IFERROR(VLOOKUP($C$1,DonnéesDEF!$A$1:$LG$110,250,FALSE),"ERR")</f>
        <v>ERR</v>
      </c>
    </row>
    <row r="281" spans="1:4" s="146" customFormat="1" ht="33.75" customHeight="1" x14ac:dyDescent="0.35">
      <c r="A281" s="150" t="s">
        <v>690</v>
      </c>
      <c r="B281" s="123" t="str">
        <f>IFERROR(VLOOKUP($C$1,DonnéesDEF!$A$1:$LG$110,142,FALSE),"ERR")</f>
        <v>ERR</v>
      </c>
      <c r="C281" s="123" t="str">
        <f>IFERROR(VLOOKUP($C$1,DonnéesDEF!$A$1:$LG$110,196,FALSE),"ERR")</f>
        <v>ERR</v>
      </c>
      <c r="D281" s="123" t="str">
        <f>IFERROR(VLOOKUP($C$1,DonnéesDEF!$A$1:$LG$110,251,FALSE),"ERR")</f>
        <v>ERR</v>
      </c>
    </row>
    <row r="282" spans="1:4" s="146" customFormat="1" ht="33.75" customHeight="1" x14ac:dyDescent="0.35">
      <c r="A282" s="150" t="s">
        <v>568</v>
      </c>
      <c r="B282" s="123" t="str">
        <f>IFERROR(VLOOKUP($C$1,DonnéesDEF!$A$1:$LG$110,121,FALSE),"ERR")</f>
        <v>ERR</v>
      </c>
      <c r="C282" s="123" t="str">
        <f>IFERROR(VLOOKUP($C$1,DonnéesDEF!$A$1:$LG$110,175,FALSE),"ERR")</f>
        <v>ERR</v>
      </c>
      <c r="D282" s="123" t="str">
        <f>IFERROR(VLOOKUP($C$1,DonnéesDEF!$A$1:$LG$110,230,FALSE),"ERR")</f>
        <v>ERR</v>
      </c>
    </row>
    <row r="283" spans="1:4" s="146" customFormat="1" ht="33.75" customHeight="1" x14ac:dyDescent="0.35">
      <c r="A283" s="150" t="s">
        <v>691</v>
      </c>
      <c r="B283" s="123" t="str">
        <f>IFERROR(VLOOKUP($C$1,DonnéesDEF!$A$1:$LG$110,143,FALSE),"ERR")</f>
        <v>ERR</v>
      </c>
      <c r="C283" s="123" t="str">
        <f>IFERROR(VLOOKUP($C$1,DonnéesDEF!$A$1:$LG$110,197,FALSE),"ERR")</f>
        <v>ERR</v>
      </c>
      <c r="D283" s="123" t="str">
        <f>IFERROR(VLOOKUP($C$1,DonnéesDEF!$A$1:$LG$110,252,FALSE),"ERR")</f>
        <v>ERR</v>
      </c>
    </row>
    <row r="284" spans="1:4" s="146" customFormat="1" ht="33.75" customHeight="1" x14ac:dyDescent="0.35">
      <c r="A284" s="150" t="s">
        <v>588</v>
      </c>
      <c r="B284" s="123" t="str">
        <f>IFERROR(VLOOKUP($C$1,DonnéesDEF!$A$1:$LG$110,144,FALSE),"ERR")</f>
        <v>ERR</v>
      </c>
      <c r="C284" s="123" t="str">
        <f>IFERROR(VLOOKUP($C$1,DonnéesDEF!$A$1:$LG$110,198,FALSE),"ERR")</f>
        <v>ERR</v>
      </c>
      <c r="D284" s="123" t="str">
        <f>IFERROR(VLOOKUP($C$1,DonnéesDEF!$A$1:$LG$110,253,FALSE),"ERR")</f>
        <v>ERR</v>
      </c>
    </row>
    <row r="285" spans="1:4" s="146" customFormat="1" ht="33.75" customHeight="1" x14ac:dyDescent="0.35">
      <c r="A285" s="150" t="s">
        <v>589</v>
      </c>
      <c r="B285" s="123" t="str">
        <f>IFERROR(VLOOKUP($C$1,DonnéesDEF!$A$1:$LG$110,145,FALSE),"ERR")</f>
        <v>ERR</v>
      </c>
      <c r="C285" s="123" t="str">
        <f>IFERROR(VLOOKUP($C$1,DonnéesDEF!$A$1:$LG$110,199,FALSE),"ERR")</f>
        <v>ERR</v>
      </c>
      <c r="D285" s="123" t="str">
        <f>IFERROR(VLOOKUP($C$1,DonnéesDEF!$A$1:$LG$110,254,FALSE),"ERR")</f>
        <v>ERR</v>
      </c>
    </row>
    <row r="286" spans="1:4" s="146" customFormat="1" ht="33.75" customHeight="1" x14ac:dyDescent="0.35">
      <c r="A286" s="150" t="s">
        <v>590</v>
      </c>
      <c r="B286" s="123" t="str">
        <f>IFERROR(VLOOKUP($C$1,DonnéesDEF!$A$1:$LG$110,146,FALSE),"ERR")</f>
        <v>ERR</v>
      </c>
      <c r="C286" s="123" t="str">
        <f>IFERROR(VLOOKUP($C$1,DonnéesDEF!$A$1:$LG$110,200,FALSE),"ERR")</f>
        <v>ERR</v>
      </c>
      <c r="D286" s="123" t="str">
        <f>IFERROR(VLOOKUP($C$1,DonnéesDEF!$A$1:$LG$110,255,FALSE),"ERR")</f>
        <v>ERR</v>
      </c>
    </row>
    <row r="287" spans="1:4" s="146" customFormat="1" ht="33.75" customHeight="1" x14ac:dyDescent="0.35">
      <c r="A287" s="150" t="s">
        <v>714</v>
      </c>
      <c r="B287" s="123" t="str">
        <f>IFERROR(VLOOKUP($C$1,DonnéesDEF!$A$1:$LG$110,147,FALSE),"ERR")</f>
        <v>ERR</v>
      </c>
      <c r="C287" s="123" t="str">
        <f>IFERROR(VLOOKUP($C$1,DonnéesDEF!$A$1:$LG$110,201,FALSE),"ERR")</f>
        <v>ERR</v>
      </c>
      <c r="D287" s="123" t="str">
        <f>IFERROR(VLOOKUP($C$1,DonnéesDEF!$A$1:$LG$110,256,FALSE),"ERR")</f>
        <v>ERR</v>
      </c>
    </row>
    <row r="288" spans="1:4" s="146" customFormat="1" ht="33.75" customHeight="1" x14ac:dyDescent="0.35">
      <c r="A288" s="150" t="s">
        <v>591</v>
      </c>
      <c r="B288" s="123" t="str">
        <f>IFERROR(VLOOKUP($C$1,DonnéesDEF!$A$1:$LG$110,148,FALSE),"ERR")</f>
        <v>ERR</v>
      </c>
      <c r="C288" s="123" t="str">
        <f>IFERROR(VLOOKUP($C$1,DonnéesDEF!$A$1:$LG$110,202,FALSE),"ERR")</f>
        <v>ERR</v>
      </c>
      <c r="D288" s="123" t="str">
        <f>IFERROR(VLOOKUP($C$1,DonnéesDEF!$A$1:$LG$110,257,FALSE),"ERR")</f>
        <v>ERR</v>
      </c>
    </row>
    <row r="289" spans="1:18" s="146" customFormat="1" ht="33.75" customHeight="1" x14ac:dyDescent="0.35">
      <c r="A289" s="150"/>
      <c r="B289" s="123"/>
      <c r="C289" s="123"/>
      <c r="D289" s="123"/>
    </row>
    <row r="290" spans="1:18" s="146" customFormat="1" ht="33.75" customHeight="1" x14ac:dyDescent="0.35">
      <c r="A290" s="150"/>
      <c r="B290" s="123"/>
      <c r="C290" s="123"/>
      <c r="D290" s="123"/>
    </row>
    <row r="291" spans="1:18" s="146" customFormat="1" ht="33.75" customHeight="1" x14ac:dyDescent="0.35">
      <c r="A291" s="150"/>
      <c r="B291" s="123"/>
      <c r="C291" s="123"/>
      <c r="D291" s="123"/>
    </row>
    <row r="292" spans="1:18" s="146" customFormat="1" ht="33.75" customHeight="1" x14ac:dyDescent="0.35">
      <c r="A292" s="150"/>
      <c r="B292" s="123"/>
      <c r="C292" s="123"/>
      <c r="D292" s="123"/>
    </row>
    <row r="293" spans="1:18" s="146" customFormat="1" ht="33.75" customHeight="1" x14ac:dyDescent="0.35">
      <c r="A293" s="150"/>
      <c r="B293" s="123"/>
      <c r="C293" s="123"/>
      <c r="D293" s="123"/>
    </row>
    <row r="294" spans="1:18" s="146" customFormat="1" ht="33.75" customHeight="1" x14ac:dyDescent="0.35">
      <c r="A294" s="150"/>
      <c r="B294" s="123"/>
      <c r="C294" s="123"/>
      <c r="D294" s="123"/>
    </row>
    <row r="295" spans="1:18" s="146" customFormat="1" ht="33.75" customHeight="1" x14ac:dyDescent="0.35">
      <c r="A295" s="150"/>
      <c r="B295" s="123"/>
      <c r="C295" s="123"/>
      <c r="D295" s="123"/>
    </row>
    <row r="296" spans="1:18" s="146" customFormat="1" ht="33.75" customHeight="1" x14ac:dyDescent="0.35">
      <c r="A296" s="150"/>
      <c r="B296" s="123"/>
      <c r="C296" s="123"/>
      <c r="D296" s="123"/>
    </row>
    <row r="297" spans="1:18" s="146" customFormat="1" ht="33.75" customHeight="1" x14ac:dyDescent="0.35">
      <c r="A297" s="150"/>
      <c r="B297" s="123"/>
      <c r="C297" s="123"/>
      <c r="D297" s="123"/>
    </row>
    <row r="298" spans="1:18" s="146" customFormat="1" ht="33.75" customHeight="1" x14ac:dyDescent="0.35">
      <c r="A298" s="150"/>
      <c r="B298" s="123"/>
      <c r="C298" s="123"/>
      <c r="D298" s="123"/>
    </row>
    <row r="299" spans="1:18" s="146" customFormat="1" ht="33.75" customHeight="1" x14ac:dyDescent="0.35">
      <c r="A299" s="150"/>
      <c r="B299" s="123"/>
      <c r="C299" s="123"/>
      <c r="D299" s="123"/>
    </row>
    <row r="300" spans="1:18" s="146" customFormat="1" ht="33.75" customHeight="1" x14ac:dyDescent="0.35">
      <c r="A300" s="150"/>
      <c r="B300" s="123"/>
      <c r="C300" s="123"/>
      <c r="D300" s="123"/>
    </row>
    <row r="301" spans="1:18" s="117" customFormat="1" ht="33.75" customHeight="1" x14ac:dyDescent="0.35">
      <c r="C301" s="122"/>
    </row>
    <row r="302" spans="1:18" s="101" customFormat="1" ht="67.5" customHeight="1" x14ac:dyDescent="0.25">
      <c r="A302" s="175" t="s">
        <v>592</v>
      </c>
      <c r="B302" s="112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</row>
    <row r="304" spans="1:18" s="146" customFormat="1" ht="33.75" customHeight="1" x14ac:dyDescent="0.35">
      <c r="A304" s="123" t="s">
        <v>606</v>
      </c>
      <c r="B304" s="123"/>
      <c r="C304" s="123"/>
      <c r="D304" s="123"/>
    </row>
    <row r="305" spans="1:4" s="146" customFormat="1" ht="33.75" customHeight="1" x14ac:dyDescent="0.35">
      <c r="A305" s="123"/>
      <c r="B305" s="124" t="s">
        <v>4</v>
      </c>
      <c r="C305" s="124" t="s">
        <v>5</v>
      </c>
      <c r="D305" s="124" t="s">
        <v>253</v>
      </c>
    </row>
    <row r="306" spans="1:4" s="146" customFormat="1" ht="33.75" customHeight="1" x14ac:dyDescent="0.35">
      <c r="A306" s="123" t="s">
        <v>607</v>
      </c>
      <c r="B306" s="123" t="str">
        <f>IFERROR(VLOOKUP($C$1,DonnéesDEF!$A$1:$LG$110,264,FALSE),"ERR")</f>
        <v>ERR</v>
      </c>
      <c r="C306" s="123" t="str">
        <f>IFERROR(VLOOKUP($C$1,DonnéesDEF!$A$1:$LG$110,266,FALSE),"ERR")</f>
        <v>ERR</v>
      </c>
      <c r="D306" s="123" t="str">
        <f>IFERROR(VLOOKUP($C$1,DonnéesDEF!$A$1:$LG$110,268,FALSE),"ERR")</f>
        <v>ERR</v>
      </c>
    </row>
    <row r="307" spans="1:4" s="146" customFormat="1" ht="33.75" customHeight="1" x14ac:dyDescent="0.35">
      <c r="A307" s="123" t="s">
        <v>608</v>
      </c>
      <c r="B307" s="123" t="str">
        <f>IFERROR(VLOOKUP($C$1,DonnéesDEF!$A$1:$LG$110,265,FALSE),"ERR")</f>
        <v>ERR</v>
      </c>
      <c r="C307" s="123" t="str">
        <f>IFERROR(VLOOKUP($C$1,DonnéesDEF!$A$1:$LG$110,267,FALSE),"ERR")</f>
        <v>ERR</v>
      </c>
      <c r="D307" s="123" t="str">
        <f>IFERROR(VLOOKUP($C$1,DonnéesDEF!$A$1:$LG$110,269,FALSE),"ERR")</f>
        <v>ERR</v>
      </c>
    </row>
    <row r="308" spans="1:4" s="146" customFormat="1" ht="33.75" customHeight="1" x14ac:dyDescent="0.35">
      <c r="A308" s="123" t="s">
        <v>609</v>
      </c>
      <c r="B308" s="147" t="str">
        <f t="shared" ref="B308:C308" si="1">IFERROR(B307/B306,"")</f>
        <v/>
      </c>
      <c r="C308" s="147" t="str">
        <f t="shared" si="1"/>
        <v/>
      </c>
      <c r="D308" s="147" t="str">
        <f>IFERROR(D307/D306,"")</f>
        <v/>
      </c>
    </row>
    <row r="309" spans="1:4" s="146" customFormat="1" ht="33.75" customHeight="1" x14ac:dyDescent="0.35">
      <c r="A309" s="123" t="s">
        <v>355</v>
      </c>
      <c r="B309" s="147">
        <f>DonnéesDEF!JE107</f>
        <v>0.44514106583072099</v>
      </c>
      <c r="C309" s="147">
        <f>DonnéesDEF!JG107</f>
        <v>0.41713370696557245</v>
      </c>
      <c r="D309" s="147">
        <f>DonnéesDEF!JI107</f>
        <v>0.42768273716951788</v>
      </c>
    </row>
    <row r="310" spans="1:4" s="146" customFormat="1" ht="33.75" customHeight="1" x14ac:dyDescent="0.35"/>
    <row r="311" spans="1:4" s="146" customFormat="1" ht="33.75" customHeight="1" x14ac:dyDescent="0.35"/>
    <row r="312" spans="1:4" s="146" customFormat="1" ht="33.75" customHeight="1" x14ac:dyDescent="0.35"/>
    <row r="313" spans="1:4" s="146" customFormat="1" ht="33.75" customHeight="1" x14ac:dyDescent="0.35"/>
    <row r="314" spans="1:4" s="146" customFormat="1" ht="33.75" customHeight="1" x14ac:dyDescent="0.35"/>
    <row r="315" spans="1:4" s="146" customFormat="1" ht="33.75" customHeight="1" x14ac:dyDescent="0.35"/>
    <row r="316" spans="1:4" s="146" customFormat="1" ht="33.75" customHeight="1" x14ac:dyDescent="0.35"/>
    <row r="317" spans="1:4" s="146" customFormat="1" ht="33.75" customHeight="1" x14ac:dyDescent="0.35"/>
    <row r="318" spans="1:4" s="146" customFormat="1" ht="33.75" customHeight="1" x14ac:dyDescent="0.35"/>
    <row r="319" spans="1:4" s="146" customFormat="1" ht="33.75" customHeight="1" x14ac:dyDescent="0.35"/>
    <row r="320" spans="1:4" s="146" customFormat="1" ht="33.75" customHeight="1" x14ac:dyDescent="0.35"/>
    <row r="321" spans="1:18" s="146" customFormat="1" ht="33.75" customHeight="1" x14ac:dyDescent="0.35"/>
    <row r="322" spans="1:18" s="146" customFormat="1" ht="33.75" customHeight="1" x14ac:dyDescent="0.35"/>
    <row r="323" spans="1:18" s="146" customFormat="1" ht="33.75" customHeight="1" x14ac:dyDescent="0.35"/>
    <row r="324" spans="1:18" s="146" customFormat="1" ht="33.75" customHeight="1" x14ac:dyDescent="0.35"/>
    <row r="325" spans="1:18" s="146" customFormat="1" ht="33.75" customHeight="1" x14ac:dyDescent="0.35"/>
    <row r="326" spans="1:18" s="146" customFormat="1" ht="33.75" customHeight="1" x14ac:dyDescent="0.35"/>
    <row r="327" spans="1:18" s="146" customFormat="1" ht="33.75" customHeight="1" x14ac:dyDescent="0.35"/>
    <row r="328" spans="1:18" s="146" customFormat="1" ht="33.75" customHeight="1" x14ac:dyDescent="0.35"/>
    <row r="329" spans="1:18" ht="33.75" customHeight="1" x14ac:dyDescent="0.35">
      <c r="C329" s="32"/>
    </row>
    <row r="331" spans="1:18" s="101" customFormat="1" ht="67.5" customHeight="1" x14ac:dyDescent="0.25">
      <c r="A331" s="176" t="s">
        <v>720</v>
      </c>
      <c r="B331" s="153"/>
      <c r="C331" s="154"/>
      <c r="D331" s="154"/>
      <c r="E331" s="154"/>
      <c r="F331" s="154"/>
      <c r="G331" s="154"/>
      <c r="H331" s="154"/>
      <c r="I331" s="154"/>
      <c r="J331" s="154"/>
      <c r="K331" s="154"/>
      <c r="L331" s="154"/>
      <c r="M331" s="154"/>
      <c r="N331" s="154"/>
      <c r="O331" s="154"/>
      <c r="P331" s="154"/>
      <c r="Q331" s="154"/>
      <c r="R331" s="154"/>
    </row>
    <row r="332" spans="1:18" ht="33.75" customHeight="1" thickBot="1" x14ac:dyDescent="0.4">
      <c r="C332" s="32"/>
    </row>
    <row r="333" spans="1:18" ht="33.75" customHeight="1" x14ac:dyDescent="0.35">
      <c r="C333" s="32"/>
      <c r="E333" s="237" t="s">
        <v>633</v>
      </c>
      <c r="F333" s="238"/>
      <c r="I333" s="237" t="s">
        <v>634</v>
      </c>
      <c r="J333" s="238"/>
    </row>
    <row r="334" spans="1:18" ht="33.75" customHeight="1" thickBot="1" x14ac:dyDescent="0.4">
      <c r="C334" s="32"/>
      <c r="E334" s="239"/>
      <c r="F334" s="240"/>
      <c r="I334" s="239"/>
      <c r="J334" s="240"/>
    </row>
    <row r="335" spans="1:18" ht="33.75" customHeight="1" x14ac:dyDescent="0.35">
      <c r="C335" s="32"/>
      <c r="D335" s="228" t="s">
        <v>250</v>
      </c>
      <c r="E335" s="224">
        <f>COUNTIF(E341:E378,"Oui")</f>
        <v>0</v>
      </c>
      <c r="F335" s="225"/>
      <c r="I335" s="224">
        <f>COUNTIF(I341:I378,"Oui")</f>
        <v>0</v>
      </c>
      <c r="J335" s="225"/>
    </row>
    <row r="336" spans="1:18" ht="33.75" customHeight="1" thickBot="1" x14ac:dyDescent="0.4">
      <c r="C336" s="32"/>
      <c r="D336" s="229"/>
      <c r="E336" s="226"/>
      <c r="F336" s="227"/>
      <c r="I336" s="226"/>
      <c r="J336" s="227"/>
    </row>
    <row r="337" spans="2:12" ht="33.75" customHeight="1" thickBot="1" x14ac:dyDescent="0.4">
      <c r="C337" s="32"/>
    </row>
    <row r="338" spans="2:12" ht="33.75" customHeight="1" x14ac:dyDescent="0.35">
      <c r="C338" s="32"/>
      <c r="E338" s="233" t="s">
        <v>661</v>
      </c>
      <c r="F338" s="234"/>
      <c r="G338" s="250" t="s">
        <v>718</v>
      </c>
      <c r="H338" s="251"/>
      <c r="I338" s="244" t="s">
        <v>635</v>
      </c>
      <c r="J338" s="245"/>
      <c r="K338" s="250" t="s">
        <v>719</v>
      </c>
      <c r="L338" s="251"/>
    </row>
    <row r="339" spans="2:12" ht="33.75" customHeight="1" x14ac:dyDescent="0.35">
      <c r="B339" s="86"/>
      <c r="C339" s="32"/>
      <c r="E339" s="235"/>
      <c r="F339" s="236"/>
      <c r="G339" s="252"/>
      <c r="H339" s="253"/>
      <c r="I339" s="246"/>
      <c r="J339" s="247"/>
      <c r="K339" s="252"/>
      <c r="L339" s="253"/>
    </row>
    <row r="340" spans="2:12" ht="33.75" customHeight="1" thickBot="1" x14ac:dyDescent="0.4">
      <c r="B340" s="178"/>
      <c r="C340" s="32"/>
      <c r="E340" s="235"/>
      <c r="F340" s="236"/>
      <c r="G340" s="252"/>
      <c r="H340" s="253"/>
      <c r="I340" s="248"/>
      <c r="J340" s="249"/>
      <c r="K340" s="254"/>
      <c r="L340" s="255"/>
    </row>
    <row r="341" spans="2:12" ht="33.75" customHeight="1" x14ac:dyDescent="0.35">
      <c r="B341" s="269" t="s">
        <v>636</v>
      </c>
      <c r="C341" s="270"/>
      <c r="D341" s="271"/>
      <c r="E341" s="200" t="str">
        <f>IFERROR(VLOOKUP($C$1,DonnéesDEF!$A$1:$LG$110,285,FALSE),"ERR")</f>
        <v>ERR</v>
      </c>
      <c r="F341" s="257"/>
      <c r="G341" s="258">
        <f>DonnéesDEF!JY$105/102</f>
        <v>0.45098039215686275</v>
      </c>
      <c r="H341" s="259"/>
      <c r="I341" s="256" t="str">
        <f>IFERROR(VLOOKUP($C$1,DonnéesDEF!$A$1:$RG$110,324,FALSE),"ERR")</f>
        <v>ERR</v>
      </c>
      <c r="J341" s="257"/>
      <c r="K341" s="258">
        <f>DonnéesDEF!LL$105/102</f>
        <v>0.26470588235294118</v>
      </c>
      <c r="L341" s="259"/>
    </row>
    <row r="342" spans="2:12" ht="33.75" customHeight="1" x14ac:dyDescent="0.35">
      <c r="B342" s="260" t="s">
        <v>545</v>
      </c>
      <c r="C342" s="261"/>
      <c r="D342" s="262"/>
      <c r="E342" s="210" t="str">
        <f>IFERROR(VLOOKUP($C$1,DonnéesDEF!$A$1:$LG$110,286,FALSE),"ERR")</f>
        <v>ERR</v>
      </c>
      <c r="F342" s="241"/>
      <c r="G342" s="242">
        <f>DonnéesDEF!JZ$105/102</f>
        <v>5.8823529411764705E-2</v>
      </c>
      <c r="H342" s="243"/>
      <c r="I342" s="219" t="str">
        <f>IFERROR(VLOOKUP($C$1,DonnéesDEF!$A$1:$RG$110,325,FALSE),"ERR")</f>
        <v>ERR</v>
      </c>
      <c r="J342" s="241"/>
      <c r="K342" s="242">
        <f>DonnéesDEF!LM$105/102</f>
        <v>9.8039215686274508E-3</v>
      </c>
      <c r="L342" s="243"/>
    </row>
    <row r="343" spans="2:12" ht="33.75" customHeight="1" x14ac:dyDescent="0.35">
      <c r="B343" s="260" t="s">
        <v>565</v>
      </c>
      <c r="C343" s="261"/>
      <c r="D343" s="262"/>
      <c r="E343" s="210" t="str">
        <f>IFERROR(VLOOKUP($C$1,DonnéesDEF!$A$1:$LG$110,287,FALSE),"ERR")</f>
        <v>ERR</v>
      </c>
      <c r="F343" s="241"/>
      <c r="G343" s="242">
        <f>DonnéesDEF!KA$105/102</f>
        <v>0.18627450980392157</v>
      </c>
      <c r="H343" s="243"/>
      <c r="I343" s="219" t="str">
        <f>IFERROR(VLOOKUP($C$1,DonnéesDEF!$A$1:$RG$110,326,FALSE),"ERR")</f>
        <v>ERR</v>
      </c>
      <c r="J343" s="241"/>
      <c r="K343" s="242">
        <f>DonnéesDEF!LN$105/102</f>
        <v>0.24509803921568626</v>
      </c>
      <c r="L343" s="243"/>
    </row>
    <row r="344" spans="2:12" ht="33.75" customHeight="1" x14ac:dyDescent="0.35">
      <c r="B344" s="260" t="s">
        <v>637</v>
      </c>
      <c r="C344" s="261"/>
      <c r="D344" s="262"/>
      <c r="E344" s="210" t="str">
        <f>IFERROR(VLOOKUP($C$1,DonnéesDEF!$A$1:$LG$110,288,FALSE),"ERR")</f>
        <v>ERR</v>
      </c>
      <c r="F344" s="241"/>
      <c r="G344" s="242">
        <f>DonnéesDEF!KB$105/102</f>
        <v>6.8627450980392163E-2</v>
      </c>
      <c r="H344" s="243"/>
      <c r="I344" s="219" t="str">
        <f>IFERROR(VLOOKUP($C$1,DonnéesDEF!$A$1:$RG$110,327,FALSE),"ERR")</f>
        <v>ERR</v>
      </c>
      <c r="J344" s="241"/>
      <c r="K344" s="242">
        <f>DonnéesDEF!LO$105/102</f>
        <v>2.9411764705882353E-2</v>
      </c>
      <c r="L344" s="243"/>
    </row>
    <row r="345" spans="2:12" ht="33.75" customHeight="1" x14ac:dyDescent="0.35">
      <c r="B345" s="260" t="s">
        <v>567</v>
      </c>
      <c r="C345" s="261"/>
      <c r="D345" s="262"/>
      <c r="E345" s="210" t="str">
        <f>IFERROR(VLOOKUP($C$1,DonnéesDEF!$A$1:$LG$110,289,FALSE),"ERR")</f>
        <v>ERR</v>
      </c>
      <c r="F345" s="241"/>
      <c r="G345" s="242">
        <f>DonnéesDEF!KC$105/102</f>
        <v>0.48039215686274511</v>
      </c>
      <c r="H345" s="243"/>
      <c r="I345" s="219" t="str">
        <f>IFERROR(VLOOKUP($C$1,DonnéesDEF!$A$1:$RG$110,328,FALSE),"ERR")</f>
        <v>ERR</v>
      </c>
      <c r="J345" s="241"/>
      <c r="K345" s="242">
        <f>DonnéesDEF!LP$105/102</f>
        <v>0.39215686274509803</v>
      </c>
      <c r="L345" s="243"/>
    </row>
    <row r="346" spans="2:12" ht="33.75" customHeight="1" x14ac:dyDescent="0.35">
      <c r="B346" s="260" t="s">
        <v>715</v>
      </c>
      <c r="C346" s="261"/>
      <c r="D346" s="262"/>
      <c r="E346" s="210" t="str">
        <f>IFERROR(VLOOKUP($C$1,DonnéesDEF!$A$1:$LG$110,290,FALSE),"ERR")</f>
        <v>ERR</v>
      </c>
      <c r="F346" s="241"/>
      <c r="G346" s="242">
        <f>DonnéesDEF!KD$105/102</f>
        <v>0.17647058823529413</v>
      </c>
      <c r="H346" s="243"/>
      <c r="I346" s="219" t="str">
        <f>IFERROR(VLOOKUP($C$1,DonnéesDEF!$A$1:$RG$110,329,FALSE),"ERR")</f>
        <v>ERR</v>
      </c>
      <c r="J346" s="241"/>
      <c r="K346" s="242">
        <f>DonnéesDEF!LQ$105/102</f>
        <v>0.12745098039215685</v>
      </c>
      <c r="L346" s="243"/>
    </row>
    <row r="347" spans="2:12" ht="33.75" customHeight="1" x14ac:dyDescent="0.35">
      <c r="B347" s="260" t="s">
        <v>546</v>
      </c>
      <c r="C347" s="261"/>
      <c r="D347" s="262"/>
      <c r="E347" s="210" t="str">
        <f>IFERROR(VLOOKUP($C$1,DonnéesDEF!$A$1:$LG$110,291,FALSE),"ERR")</f>
        <v>ERR</v>
      </c>
      <c r="F347" s="241"/>
      <c r="G347" s="242">
        <f>DonnéesDEF!KE$105/102</f>
        <v>6.8627450980392163E-2</v>
      </c>
      <c r="H347" s="243"/>
      <c r="I347" s="219" t="str">
        <f>IFERROR(VLOOKUP($C$1,DonnéesDEF!$A$1:$RG$110,330,FALSE),"ERR")</f>
        <v>ERR</v>
      </c>
      <c r="J347" s="241"/>
      <c r="K347" s="242">
        <f>DonnéesDEF!LR$105/102</f>
        <v>3.9215686274509803E-2</v>
      </c>
      <c r="L347" s="243"/>
    </row>
    <row r="348" spans="2:12" ht="33.75" customHeight="1" x14ac:dyDescent="0.35">
      <c r="B348" s="260" t="s">
        <v>640</v>
      </c>
      <c r="C348" s="261"/>
      <c r="D348" s="262"/>
      <c r="E348" s="210" t="str">
        <f>IFERROR(VLOOKUP($C$1,DonnéesDEF!$A$1:$LG$110,293,FALSE),"ERR")</f>
        <v>ERR</v>
      </c>
      <c r="F348" s="241"/>
      <c r="G348" s="242">
        <f>DonnéesDEF!KG$105/102</f>
        <v>0.19607843137254902</v>
      </c>
      <c r="H348" s="243"/>
      <c r="I348" s="219" t="str">
        <f>IFERROR(VLOOKUP($C$1,DonnéesDEF!$A$1:$RG$110,332,FALSE),"ERR")</f>
        <v>ERR</v>
      </c>
      <c r="J348" s="241"/>
      <c r="K348" s="242">
        <f>DonnéesDEF!LT$105/102</f>
        <v>5.8823529411764705E-2</v>
      </c>
      <c r="L348" s="243"/>
    </row>
    <row r="349" spans="2:12" ht="33.75" customHeight="1" x14ac:dyDescent="0.35">
      <c r="B349" s="260" t="s">
        <v>570</v>
      </c>
      <c r="C349" s="261"/>
      <c r="D349" s="262"/>
      <c r="E349" s="210" t="str">
        <f>IFERROR(VLOOKUP($C$1,DonnéesDEF!$A$1:$LG$110,294,FALSE),"ERR")</f>
        <v>ERR</v>
      </c>
      <c r="F349" s="241"/>
      <c r="G349" s="242">
        <f>DonnéesDEF!KH$105/102</f>
        <v>2.9411764705882353E-2</v>
      </c>
      <c r="H349" s="243"/>
      <c r="I349" s="219" t="str">
        <f>IFERROR(VLOOKUP($C$1,DonnéesDEF!$A$1:$RG$110,333,FALSE),"ERR")</f>
        <v>ERR</v>
      </c>
      <c r="J349" s="241"/>
      <c r="K349" s="242">
        <f>DonnéesDEF!LU$105/102</f>
        <v>4.9019607843137254E-2</v>
      </c>
      <c r="L349" s="243"/>
    </row>
    <row r="350" spans="2:12" ht="33.75" customHeight="1" x14ac:dyDescent="0.35">
      <c r="B350" s="260" t="s">
        <v>641</v>
      </c>
      <c r="C350" s="261"/>
      <c r="D350" s="262"/>
      <c r="E350" s="210" t="str">
        <f>IFERROR(VLOOKUP($C$1,DonnéesDEF!$A$1:$LG$110,295,FALSE),"ERR")</f>
        <v>ERR</v>
      </c>
      <c r="F350" s="241"/>
      <c r="G350" s="242">
        <f>DonnéesDEF!KI$105/102</f>
        <v>0.22549019607843138</v>
      </c>
      <c r="H350" s="243"/>
      <c r="I350" s="219" t="str">
        <f>IFERROR(VLOOKUP($C$1,DonnéesDEF!$A$1:$RG$110,334,FALSE),"ERR")</f>
        <v>ERR</v>
      </c>
      <c r="J350" s="241"/>
      <c r="K350" s="242">
        <f>DonnéesDEF!LV$105/102</f>
        <v>9.8039215686274508E-2</v>
      </c>
      <c r="L350" s="243"/>
    </row>
    <row r="351" spans="2:12" ht="33.75" customHeight="1" x14ac:dyDescent="0.35">
      <c r="B351" s="260" t="s">
        <v>642</v>
      </c>
      <c r="C351" s="261"/>
      <c r="D351" s="262"/>
      <c r="E351" s="210" t="str">
        <f>IFERROR(VLOOKUP($C$1,DonnéesDEF!$A$1:$LG$110,296,FALSE),"ERR")</f>
        <v>ERR</v>
      </c>
      <c r="F351" s="241"/>
      <c r="G351" s="242">
        <f>DonnéesDEF!KJ$105/102</f>
        <v>0.23529411764705882</v>
      </c>
      <c r="H351" s="243"/>
      <c r="I351" s="219" t="str">
        <f>IFERROR(VLOOKUP($C$1,DonnéesDEF!$A$1:$RG$110,335,FALSE),"ERR")</f>
        <v>ERR</v>
      </c>
      <c r="J351" s="241"/>
      <c r="K351" s="242">
        <f>DonnéesDEF!LW$105/102</f>
        <v>4.9019607843137254E-2</v>
      </c>
      <c r="L351" s="243"/>
    </row>
    <row r="352" spans="2:12" ht="33.75" customHeight="1" x14ac:dyDescent="0.35">
      <c r="B352" s="260" t="s">
        <v>562</v>
      </c>
      <c r="C352" s="261"/>
      <c r="D352" s="262"/>
      <c r="E352" s="210" t="str">
        <f>IFERROR(VLOOKUP($C$1,DonnéesDEF!$A$1:$LG$110,297,FALSE),"ERR")</f>
        <v>ERR</v>
      </c>
      <c r="F352" s="241"/>
      <c r="G352" s="242">
        <f>DonnéesDEF!KK$105/102</f>
        <v>6.8627450980392163E-2</v>
      </c>
      <c r="H352" s="243"/>
      <c r="I352" s="219" t="str">
        <f>IFERROR(VLOOKUP($C$1,DonnéesDEF!$A$1:$RG$110,336,FALSE),"ERR")</f>
        <v>ERR</v>
      </c>
      <c r="J352" s="241"/>
      <c r="K352" s="242">
        <f>DonnéesDEF!LX$105/102</f>
        <v>1.9607843137254902E-2</v>
      </c>
      <c r="L352" s="243"/>
    </row>
    <row r="353" spans="2:12" ht="33.75" customHeight="1" x14ac:dyDescent="0.35">
      <c r="B353" s="260" t="s">
        <v>643</v>
      </c>
      <c r="C353" s="261"/>
      <c r="D353" s="262"/>
      <c r="E353" s="210" t="str">
        <f>IFERROR(VLOOKUP($C$1,DonnéesDEF!$A$1:$LG$110,298,FALSE),"ERR")</f>
        <v>ERR</v>
      </c>
      <c r="F353" s="241"/>
      <c r="G353" s="242">
        <f>DonnéesDEF!KL$105/102</f>
        <v>3.9215686274509803E-2</v>
      </c>
      <c r="H353" s="243"/>
      <c r="I353" s="219" t="str">
        <f>IFERROR(VLOOKUP($C$1,DonnéesDEF!$A$1:$RG$110,337,FALSE),"ERR")</f>
        <v>ERR</v>
      </c>
      <c r="J353" s="241"/>
      <c r="K353" s="242">
        <f>DonnéesDEF!LY$105/102</f>
        <v>0</v>
      </c>
      <c r="L353" s="243"/>
    </row>
    <row r="354" spans="2:12" ht="33.75" customHeight="1" x14ac:dyDescent="0.35">
      <c r="B354" s="260" t="s">
        <v>573</v>
      </c>
      <c r="C354" s="261"/>
      <c r="D354" s="262"/>
      <c r="E354" s="210" t="str">
        <f>IFERROR(VLOOKUP($C$1,DonnéesDEF!$A$1:$LG$110,299,FALSE),"ERR")</f>
        <v>ERR</v>
      </c>
      <c r="F354" s="241"/>
      <c r="G354" s="242">
        <f>DonnéesDEF!KM$105/102</f>
        <v>0.3235294117647059</v>
      </c>
      <c r="H354" s="243"/>
      <c r="I354" s="219" t="str">
        <f>IFERROR(VLOOKUP($C$1,DonnéesDEF!$A$1:$RG$110,338,FALSE),"ERR")</f>
        <v>ERR</v>
      </c>
      <c r="J354" s="241"/>
      <c r="K354" s="242">
        <f>DonnéesDEF!LZ$105/102</f>
        <v>0.24509803921568626</v>
      </c>
      <c r="L354" s="243"/>
    </row>
    <row r="355" spans="2:12" ht="33.75" customHeight="1" x14ac:dyDescent="0.35">
      <c r="B355" s="266" t="s">
        <v>714</v>
      </c>
      <c r="C355" s="267"/>
      <c r="D355" s="268"/>
      <c r="E355" s="210" t="str">
        <f>IFERROR(VLOOKUP($C$1,DonnéesDEF!$A$1:$TP$110,382,FALSE),"ERR")</f>
        <v>ERR</v>
      </c>
      <c r="F355" s="241"/>
      <c r="G355" s="242">
        <f>DonnéesDEF!NR$105/102</f>
        <v>7.8431372549019607E-2</v>
      </c>
      <c r="H355" s="243"/>
      <c r="I355" s="219" t="str">
        <f>IFERROR(VLOOKUP($C$1,DonnéesDEF!$A$1:$RG$110,383,FALSE),"ERR")</f>
        <v>ERR</v>
      </c>
      <c r="J355" s="241"/>
      <c r="K355" s="242">
        <f>DonnéesDEF!NS$105/102</f>
        <v>0</v>
      </c>
      <c r="L355" s="243"/>
    </row>
    <row r="356" spans="2:12" ht="33.75" customHeight="1" x14ac:dyDescent="0.35">
      <c r="B356" s="260" t="s">
        <v>574</v>
      </c>
      <c r="C356" s="261"/>
      <c r="D356" s="262"/>
      <c r="E356" s="210" t="str">
        <f>IFERROR(VLOOKUP($C$1,DonnéesDEF!$A$1:$LG$110,300,FALSE),"ERR")</f>
        <v>ERR</v>
      </c>
      <c r="F356" s="241"/>
      <c r="G356" s="242">
        <f>DonnéesDEF!KN$105/102</f>
        <v>0.71568627450980393</v>
      </c>
      <c r="H356" s="243"/>
      <c r="I356" s="219" t="str">
        <f>IFERROR(VLOOKUP($C$1,DonnéesDEF!$A$1:$RG$110,339,FALSE),"ERR")</f>
        <v>ERR</v>
      </c>
      <c r="J356" s="241"/>
      <c r="K356" s="242">
        <f>DonnéesDEF!MA$105/102</f>
        <v>0.56862745098039214</v>
      </c>
      <c r="L356" s="243"/>
    </row>
    <row r="357" spans="2:12" ht="33.75" customHeight="1" x14ac:dyDescent="0.35">
      <c r="B357" s="260" t="s">
        <v>575</v>
      </c>
      <c r="C357" s="261"/>
      <c r="D357" s="262"/>
      <c r="E357" s="210" t="str">
        <f>IFERROR(VLOOKUP($C$1,DonnéesDEF!$A$1:$LG$110,301,FALSE),"ERR")</f>
        <v>ERR</v>
      </c>
      <c r="F357" s="241"/>
      <c r="G357" s="242">
        <f>DonnéesDEF!KO$105/102</f>
        <v>0.5</v>
      </c>
      <c r="H357" s="243"/>
      <c r="I357" s="219" t="str">
        <f>IFERROR(VLOOKUP($C$1,DonnéesDEF!$A$1:$RG$110,340,FALSE),"ERR")</f>
        <v>ERR</v>
      </c>
      <c r="J357" s="241"/>
      <c r="K357" s="242">
        <f>DonnéesDEF!MB$105/102</f>
        <v>0.46078431372549017</v>
      </c>
      <c r="L357" s="243"/>
    </row>
    <row r="358" spans="2:12" ht="33.75" customHeight="1" x14ac:dyDescent="0.35">
      <c r="B358" s="260" t="s">
        <v>644</v>
      </c>
      <c r="C358" s="261"/>
      <c r="D358" s="262"/>
      <c r="E358" s="210" t="str">
        <f>IFERROR(VLOOKUP($C$1,DonnéesDEF!$A$1:$LG$110,302,FALSE),"ERR")</f>
        <v>ERR</v>
      </c>
      <c r="F358" s="241"/>
      <c r="G358" s="242">
        <f>DonnéesDEF!KP$105/102</f>
        <v>0.10784313725490197</v>
      </c>
      <c r="H358" s="243"/>
      <c r="I358" s="219" t="str">
        <f>IFERROR(VLOOKUP($C$1,DonnéesDEF!$A$1:$RG$110,341,FALSE),"ERR")</f>
        <v>ERR</v>
      </c>
      <c r="J358" s="241"/>
      <c r="K358" s="242">
        <f>DonnéesDEF!MC$105/102</f>
        <v>7.8431372549019607E-2</v>
      </c>
      <c r="L358" s="243"/>
    </row>
    <row r="359" spans="2:12" ht="33.75" customHeight="1" x14ac:dyDescent="0.35">
      <c r="B359" s="260" t="s">
        <v>576</v>
      </c>
      <c r="C359" s="261"/>
      <c r="D359" s="262"/>
      <c r="E359" s="210" t="str">
        <f>IFERROR(VLOOKUP($C$1,DonnéesDEF!$A$1:$LG$110,303,FALSE),"ERR")</f>
        <v>ERR</v>
      </c>
      <c r="F359" s="241"/>
      <c r="G359" s="242">
        <f>DonnéesDEF!KQ$105/102</f>
        <v>0.63725490196078427</v>
      </c>
      <c r="H359" s="243"/>
      <c r="I359" s="219" t="str">
        <f>IFERROR(VLOOKUP($C$1,DonnéesDEF!$A$1:$RG$110,342,FALSE),"ERR")</f>
        <v>ERR</v>
      </c>
      <c r="J359" s="241"/>
      <c r="K359" s="242">
        <f>DonnéesDEF!MD$105/102</f>
        <v>0.55882352941176472</v>
      </c>
      <c r="L359" s="243"/>
    </row>
    <row r="360" spans="2:12" ht="33.75" customHeight="1" x14ac:dyDescent="0.35">
      <c r="B360" s="260" t="s">
        <v>645</v>
      </c>
      <c r="C360" s="261"/>
      <c r="D360" s="262"/>
      <c r="E360" s="210" t="str">
        <f>IFERROR(VLOOKUP($C$1,DonnéesDEF!$A$1:$LG$110,304,FALSE),"ERR")</f>
        <v>ERR</v>
      </c>
      <c r="F360" s="241"/>
      <c r="G360" s="242">
        <f>DonnéesDEF!KR$105/102</f>
        <v>0.50980392156862742</v>
      </c>
      <c r="H360" s="243"/>
      <c r="I360" s="219" t="str">
        <f>IFERROR(VLOOKUP($C$1,DonnéesDEF!$A$1:$RG$110,343,FALSE),"ERR")</f>
        <v>ERR</v>
      </c>
      <c r="J360" s="241"/>
      <c r="K360" s="242">
        <f>DonnéesDEF!ME$105/102</f>
        <v>0.22549019607843138</v>
      </c>
      <c r="L360" s="243"/>
    </row>
    <row r="361" spans="2:12" ht="33.75" customHeight="1" x14ac:dyDescent="0.35">
      <c r="B361" s="260" t="s">
        <v>577</v>
      </c>
      <c r="C361" s="261"/>
      <c r="D361" s="262"/>
      <c r="E361" s="210" t="str">
        <f>IFERROR(VLOOKUP($C$1,DonnéesDEF!$A$1:$LG$110,305,FALSE),"ERR")</f>
        <v>ERR</v>
      </c>
      <c r="F361" s="241"/>
      <c r="G361" s="242">
        <f>DonnéesDEF!KS$105/102</f>
        <v>0.10784313725490197</v>
      </c>
      <c r="H361" s="243"/>
      <c r="I361" s="219" t="str">
        <f>IFERROR(VLOOKUP($C$1,DonnéesDEF!$A$1:$RG$110,344,FALSE),"ERR")</f>
        <v>ERR</v>
      </c>
      <c r="J361" s="241"/>
      <c r="K361" s="242">
        <f>DonnéesDEF!MF$105/102</f>
        <v>6.8627450980392163E-2</v>
      </c>
      <c r="L361" s="243"/>
    </row>
    <row r="362" spans="2:12" ht="33.75" customHeight="1" x14ac:dyDescent="0.35">
      <c r="B362" s="260" t="s">
        <v>646</v>
      </c>
      <c r="C362" s="261"/>
      <c r="D362" s="262"/>
      <c r="E362" s="210" t="str">
        <f>IFERROR(VLOOKUP($C$1,DonnéesDEF!$A$1:$LG$110,306,FALSE),"ERR")</f>
        <v>ERR</v>
      </c>
      <c r="F362" s="241"/>
      <c r="G362" s="242">
        <f>DonnéesDEF!KT$105/102</f>
        <v>0.11764705882352941</v>
      </c>
      <c r="H362" s="243"/>
      <c r="I362" s="219" t="str">
        <f>IFERROR(VLOOKUP($C$1,DonnéesDEF!$A$1:$RG$110,345,FALSE),"ERR")</f>
        <v>ERR</v>
      </c>
      <c r="J362" s="241"/>
      <c r="K362" s="242">
        <f>DonnéesDEF!MG$105/102</f>
        <v>8.8235294117647065E-2</v>
      </c>
      <c r="L362" s="243"/>
    </row>
    <row r="363" spans="2:12" ht="33.75" customHeight="1" x14ac:dyDescent="0.35">
      <c r="B363" s="260" t="s">
        <v>647</v>
      </c>
      <c r="C363" s="261"/>
      <c r="D363" s="262"/>
      <c r="E363" s="210" t="str">
        <f>IFERROR(VLOOKUP($C$1,DonnéesDEF!$A$1:$LG$110,307,FALSE),"ERR")</f>
        <v>ERR</v>
      </c>
      <c r="F363" s="241"/>
      <c r="G363" s="242">
        <f>DonnéesDEF!KU$105/102</f>
        <v>7.8431372549019607E-2</v>
      </c>
      <c r="H363" s="243"/>
      <c r="I363" s="219" t="str">
        <f>IFERROR(VLOOKUP($C$1,DonnéesDEF!$A$1:$RG$110,346,FALSE),"ERR")</f>
        <v>ERR</v>
      </c>
      <c r="J363" s="241"/>
      <c r="K363" s="242">
        <f>DonnéesDEF!MH$105/102</f>
        <v>1.9607843137254902E-2</v>
      </c>
      <c r="L363" s="243"/>
    </row>
    <row r="364" spans="2:12" ht="33.75" customHeight="1" x14ac:dyDescent="0.35">
      <c r="B364" s="260" t="s">
        <v>584</v>
      </c>
      <c r="C364" s="261"/>
      <c r="D364" s="262"/>
      <c r="E364" s="210" t="str">
        <f>IFERROR(VLOOKUP($C$1,DonnéesDEF!$A$1:$LG$110,308,FALSE),"ERR")</f>
        <v>ERR</v>
      </c>
      <c r="F364" s="241"/>
      <c r="G364" s="242">
        <f>DonnéesDEF!KV$105/102</f>
        <v>5.8823529411764705E-2</v>
      </c>
      <c r="H364" s="243"/>
      <c r="I364" s="219" t="str">
        <f>IFERROR(VLOOKUP($C$1,DonnéesDEF!$A$1:$RG$110,347,FALSE),"ERR")</f>
        <v>ERR</v>
      </c>
      <c r="J364" s="241"/>
      <c r="K364" s="242">
        <f>DonnéesDEF!MI$105/102</f>
        <v>2.9411764705882353E-2</v>
      </c>
      <c r="L364" s="243"/>
    </row>
    <row r="365" spans="2:12" ht="33.75" customHeight="1" x14ac:dyDescent="0.35">
      <c r="B365" s="260" t="s">
        <v>550</v>
      </c>
      <c r="C365" s="261"/>
      <c r="D365" s="262"/>
      <c r="E365" s="210" t="str">
        <f>IFERROR(VLOOKUP($C$1,DonnéesDEF!$A$1:$LG$110,309,FALSE),"ERR")</f>
        <v>ERR</v>
      </c>
      <c r="F365" s="241"/>
      <c r="G365" s="242">
        <f>DonnéesDEF!KW$105/102</f>
        <v>7.8431372549019607E-2</v>
      </c>
      <c r="H365" s="243"/>
      <c r="I365" s="219" t="str">
        <f>IFERROR(VLOOKUP($C$1,DonnéesDEF!$A$1:$RG$110,348,FALSE),"ERR")</f>
        <v>ERR</v>
      </c>
      <c r="J365" s="241"/>
      <c r="K365" s="242">
        <f>DonnéesDEF!MJ$105/102</f>
        <v>9.8039215686274508E-3</v>
      </c>
      <c r="L365" s="243"/>
    </row>
    <row r="366" spans="2:12" ht="33.75" customHeight="1" x14ac:dyDescent="0.35">
      <c r="B366" s="260" t="s">
        <v>585</v>
      </c>
      <c r="C366" s="261"/>
      <c r="D366" s="262"/>
      <c r="E366" s="210" t="str">
        <f>IFERROR(VLOOKUP($C$1,DonnéesDEF!$A$1:$LG$110,310,FALSE),"ERR")</f>
        <v>ERR</v>
      </c>
      <c r="F366" s="241"/>
      <c r="G366" s="242">
        <f>DonnéesDEF!KX$105/102</f>
        <v>8.8235294117647065E-2</v>
      </c>
      <c r="H366" s="243"/>
      <c r="I366" s="219" t="str">
        <f>IFERROR(VLOOKUP($C$1,DonnéesDEF!$A$1:$RG$110,349,FALSE),"ERR")</f>
        <v>ERR</v>
      </c>
      <c r="J366" s="241"/>
      <c r="K366" s="242">
        <f>DonnéesDEF!MK$105/102</f>
        <v>5.8823529411764705E-2</v>
      </c>
      <c r="L366" s="243"/>
    </row>
    <row r="367" spans="2:12" ht="33.75" customHeight="1" x14ac:dyDescent="0.35">
      <c r="B367" s="260" t="s">
        <v>716</v>
      </c>
      <c r="C367" s="261"/>
      <c r="D367" s="262"/>
      <c r="E367" s="210" t="str">
        <f>IFERROR(VLOOKUP($C$1,DonnéesDEF!$A$1:$LG$110,311,FALSE),"ERR")</f>
        <v>ERR</v>
      </c>
      <c r="F367" s="241"/>
      <c r="G367" s="242">
        <f>DonnéesDEF!KY$105/102</f>
        <v>0.25490196078431371</v>
      </c>
      <c r="H367" s="243"/>
      <c r="I367" s="219" t="str">
        <f>IFERROR(VLOOKUP($C$1,DonnéesDEF!$A$1:$RG$110,350,FALSE),"ERR")</f>
        <v>ERR</v>
      </c>
      <c r="J367" s="241"/>
      <c r="K367" s="242">
        <f>DonnéesDEF!ML$105/102</f>
        <v>0.16666666666666666</v>
      </c>
      <c r="L367" s="243"/>
    </row>
    <row r="368" spans="2:12" ht="33.75" customHeight="1" x14ac:dyDescent="0.35">
      <c r="B368" s="260" t="s">
        <v>548</v>
      </c>
      <c r="C368" s="261"/>
      <c r="D368" s="262"/>
      <c r="E368" s="210" t="str">
        <f>IFERROR(VLOOKUP($C$1,DonnéesDEF!$A$1:$LG$110,312,FALSE),"ERR")</f>
        <v>ERR</v>
      </c>
      <c r="F368" s="241"/>
      <c r="G368" s="242">
        <f>DonnéesDEF!KZ$105/102</f>
        <v>0.17647058823529413</v>
      </c>
      <c r="H368" s="243"/>
      <c r="I368" s="219" t="str">
        <f>IFERROR(VLOOKUP($C$1,DonnéesDEF!$A$1:$RG$110,351,FALSE),"ERR")</f>
        <v>ERR</v>
      </c>
      <c r="J368" s="241"/>
      <c r="K368" s="242">
        <f>DonnéesDEF!MM$105/102</f>
        <v>0.12745098039215685</v>
      </c>
      <c r="L368" s="243"/>
    </row>
    <row r="369" spans="1:18" ht="33.75" customHeight="1" x14ac:dyDescent="0.35">
      <c r="B369" s="260" t="s">
        <v>717</v>
      </c>
      <c r="C369" s="261"/>
      <c r="D369" s="262"/>
      <c r="E369" s="210" t="str">
        <f>IFERROR(VLOOKUP($C$1,DonnéesDEF!$A$1:$LG$110,313,FALSE),"ERR")</f>
        <v>ERR</v>
      </c>
      <c r="F369" s="241"/>
      <c r="G369" s="242">
        <f>DonnéesDEF!LA$105/102</f>
        <v>0.10784313725490197</v>
      </c>
      <c r="H369" s="243"/>
      <c r="I369" s="219" t="str">
        <f>IFERROR(VLOOKUP($C$1,DonnéesDEF!$A$1:$RG$110,352,FALSE),"ERR")</f>
        <v>ERR</v>
      </c>
      <c r="J369" s="241"/>
      <c r="K369" s="242">
        <f>DonnéesDEF!MN$105/102</f>
        <v>1.9607843137254902E-2</v>
      </c>
      <c r="L369" s="243"/>
    </row>
    <row r="370" spans="1:18" ht="33.75" customHeight="1" x14ac:dyDescent="0.35">
      <c r="B370" s="260" t="s">
        <v>649</v>
      </c>
      <c r="C370" s="261"/>
      <c r="D370" s="262"/>
      <c r="E370" s="210" t="str">
        <f>IFERROR(VLOOKUP($C$1,DonnéesDEF!$A$1:$LG$110,314,FALSE),"ERR")</f>
        <v>ERR</v>
      </c>
      <c r="F370" s="241"/>
      <c r="G370" s="242">
        <f>DonnéesDEF!LB$105/102</f>
        <v>0.69607843137254899</v>
      </c>
      <c r="H370" s="243"/>
      <c r="I370" s="219" t="str">
        <f>IFERROR(VLOOKUP($C$1,DonnéesDEF!$A$1:$RG$110,353,FALSE),"ERR")</f>
        <v>ERR</v>
      </c>
      <c r="J370" s="241"/>
      <c r="K370" s="242">
        <f>DonnéesDEF!MO$105/102</f>
        <v>0.65686274509803921</v>
      </c>
      <c r="L370" s="243"/>
    </row>
    <row r="371" spans="1:18" ht="33.75" customHeight="1" x14ac:dyDescent="0.35">
      <c r="B371" s="260" t="s">
        <v>650</v>
      </c>
      <c r="C371" s="261"/>
      <c r="D371" s="262"/>
      <c r="E371" s="210" t="str">
        <f>IFERROR(VLOOKUP($C$1,DonnéesDEF!$A$1:$LG$110,315,FALSE),"ERR")</f>
        <v>ERR</v>
      </c>
      <c r="F371" s="241"/>
      <c r="G371" s="242">
        <f>DonnéesDEF!LC$105/102</f>
        <v>0.3235294117647059</v>
      </c>
      <c r="H371" s="243"/>
      <c r="I371" s="219" t="str">
        <f>IFERROR(VLOOKUP($C$1,DonnéesDEF!$A$1:$RG$110,354,FALSE),"ERR")</f>
        <v>ERR</v>
      </c>
      <c r="J371" s="241"/>
      <c r="K371" s="242">
        <f>DonnéesDEF!MP$105/102</f>
        <v>0.17647058823529413</v>
      </c>
      <c r="L371" s="243"/>
    </row>
    <row r="372" spans="1:18" ht="33.75" customHeight="1" x14ac:dyDescent="0.35">
      <c r="B372" s="260" t="s">
        <v>588</v>
      </c>
      <c r="C372" s="261"/>
      <c r="D372" s="262"/>
      <c r="E372" s="210" t="str">
        <f>IFERROR(VLOOKUP($C$1,DonnéesDEF!$A$1:$LG$110,316,FALSE),"ERR")</f>
        <v>ERR</v>
      </c>
      <c r="F372" s="241"/>
      <c r="G372" s="242">
        <f>DonnéesDEF!LD$105/102</f>
        <v>0.48039215686274511</v>
      </c>
      <c r="H372" s="243"/>
      <c r="I372" s="219" t="str">
        <f>IFERROR(VLOOKUP($C$1,DonnéesDEF!$A$1:$RG$110,355,FALSE),"ERR")</f>
        <v>ERR</v>
      </c>
      <c r="J372" s="241"/>
      <c r="K372" s="242">
        <f>DonnéesDEF!MQ$105/102</f>
        <v>0.49019607843137253</v>
      </c>
      <c r="L372" s="243"/>
    </row>
    <row r="373" spans="1:18" ht="33.75" customHeight="1" x14ac:dyDescent="0.35">
      <c r="B373" s="260" t="s">
        <v>589</v>
      </c>
      <c r="C373" s="261"/>
      <c r="D373" s="262"/>
      <c r="E373" s="210" t="str">
        <f>IFERROR(VLOOKUP($C$1,DonnéesDEF!$A$1:$LG$110,317,FALSE),"ERR")</f>
        <v>ERR</v>
      </c>
      <c r="F373" s="241"/>
      <c r="G373" s="242">
        <f>DonnéesDEF!LE$105/102</f>
        <v>0.29411764705882354</v>
      </c>
      <c r="H373" s="243"/>
      <c r="I373" s="219" t="str">
        <f>IFERROR(VLOOKUP($C$1,DonnéesDEF!$A$1:$RG$110,356,FALSE),"ERR")</f>
        <v>ERR</v>
      </c>
      <c r="J373" s="241"/>
      <c r="K373" s="242">
        <f>DonnéesDEF!MR$105/102</f>
        <v>0.21568627450980393</v>
      </c>
      <c r="L373" s="243"/>
    </row>
    <row r="374" spans="1:18" ht="33.75" customHeight="1" x14ac:dyDescent="0.35">
      <c r="B374" s="260" t="s">
        <v>651</v>
      </c>
      <c r="C374" s="261"/>
      <c r="D374" s="262"/>
      <c r="E374" s="210" t="str">
        <f>IFERROR(VLOOKUP($C$1,DonnéesDEF!$A$1:$LG$110,318,FALSE),"ERR")</f>
        <v>ERR</v>
      </c>
      <c r="F374" s="241"/>
      <c r="G374" s="242">
        <f>DonnéesDEF!LF$105/102</f>
        <v>2.9411764705882353E-2</v>
      </c>
      <c r="H374" s="243"/>
      <c r="I374" s="219" t="str">
        <f>IFERROR(VLOOKUP($C$1,DonnéesDEF!$A$1:$RG$110,357,FALSE),"ERR")</f>
        <v>ERR</v>
      </c>
      <c r="J374" s="241"/>
      <c r="K374" s="242">
        <f>DonnéesDEF!MS$105/102</f>
        <v>0</v>
      </c>
      <c r="L374" s="243"/>
    </row>
    <row r="375" spans="1:18" ht="33.75" customHeight="1" x14ac:dyDescent="0.35">
      <c r="B375" s="260" t="s">
        <v>652</v>
      </c>
      <c r="C375" s="261"/>
      <c r="D375" s="262"/>
      <c r="E375" s="210" t="str">
        <f>IFERROR(VLOOKUP($C$1,DonnéesDEF!$A$1:$LG$110,319,FALSE),"ERR")</f>
        <v>ERR</v>
      </c>
      <c r="F375" s="241"/>
      <c r="G375" s="242">
        <f>DonnéesDEF!LG$105/102</f>
        <v>5.8823529411764705E-2</v>
      </c>
      <c r="H375" s="243"/>
      <c r="I375" s="219" t="str">
        <f>IFERROR(VLOOKUP($C$1,DonnéesDEF!$A$1:$RG$110,358,FALSE),"ERR")</f>
        <v>ERR</v>
      </c>
      <c r="J375" s="241"/>
      <c r="K375" s="242">
        <f>DonnéesDEF!MT$105/102</f>
        <v>9.8039215686274508E-3</v>
      </c>
      <c r="L375" s="243"/>
    </row>
    <row r="376" spans="1:18" ht="33.75" customHeight="1" x14ac:dyDescent="0.35">
      <c r="B376" s="260" t="s">
        <v>653</v>
      </c>
      <c r="C376" s="261"/>
      <c r="D376" s="262"/>
      <c r="E376" s="210" t="str">
        <f>IFERROR(VLOOKUP($C$1,DonnéesDEF!$A$1:$RG$110,320,FALSE),"ERR")</f>
        <v>ERR</v>
      </c>
      <c r="F376" s="241"/>
      <c r="G376" s="242">
        <f>DonnéesDEF!LH$105/102</f>
        <v>9.8039215686274508E-2</v>
      </c>
      <c r="H376" s="243"/>
      <c r="I376" s="219" t="str">
        <f>IFERROR(VLOOKUP($C$1,DonnéesDEF!$A$1:$RG$110,359,FALSE),"ERR")</f>
        <v>ERR</v>
      </c>
      <c r="J376" s="241"/>
      <c r="K376" s="242">
        <f>DonnéesDEF!MU$105/102</f>
        <v>1.9607843137254902E-2</v>
      </c>
      <c r="L376" s="243"/>
    </row>
    <row r="377" spans="1:18" ht="33.75" customHeight="1" x14ac:dyDescent="0.35">
      <c r="B377" s="260" t="s">
        <v>654</v>
      </c>
      <c r="C377" s="261"/>
      <c r="D377" s="262"/>
      <c r="E377" s="210" t="str">
        <f>IFERROR(VLOOKUP($C$1,DonnéesDEF!$A$1:$RG$110,321,FALSE),"ERR")</f>
        <v>ERR</v>
      </c>
      <c r="F377" s="241"/>
      <c r="G377" s="242">
        <f>DonnéesDEF!LI$105/102</f>
        <v>0.63725490196078427</v>
      </c>
      <c r="H377" s="243"/>
      <c r="I377" s="219" t="str">
        <f>IFERROR(VLOOKUP($C$1,DonnéesDEF!$A$1:$RG$110,360,FALSE),"ERR")</f>
        <v>ERR</v>
      </c>
      <c r="J377" s="241"/>
      <c r="K377" s="242">
        <f>DonnéesDEF!MV$105/102</f>
        <v>0.19607843137254902</v>
      </c>
      <c r="L377" s="243"/>
    </row>
    <row r="378" spans="1:18" ht="33.75" customHeight="1" x14ac:dyDescent="0.35">
      <c r="B378" s="260" t="s">
        <v>655</v>
      </c>
      <c r="C378" s="261"/>
      <c r="D378" s="262"/>
      <c r="E378" s="210" t="str">
        <f>IFERROR(VLOOKUP($C$1,DonnéesDEF!$A$1:$RG$110,322,FALSE),"ERR")</f>
        <v>ERR</v>
      </c>
      <c r="F378" s="241"/>
      <c r="G378" s="242">
        <f>DonnéesDEF!LJ$105/102</f>
        <v>0.58823529411764708</v>
      </c>
      <c r="H378" s="243"/>
      <c r="I378" s="219" t="str">
        <f>IFERROR(VLOOKUP($C$1,DonnéesDEF!$A$1:$RG$110,361,FALSE),"ERR")</f>
        <v>ERR</v>
      </c>
      <c r="J378" s="241"/>
      <c r="K378" s="242">
        <f>DonnéesDEF!MW$105/102</f>
        <v>0.14705882352941177</v>
      </c>
      <c r="L378" s="243"/>
    </row>
    <row r="379" spans="1:18" ht="33.75" customHeight="1" thickBot="1" x14ac:dyDescent="0.4">
      <c r="B379" s="263" t="s">
        <v>656</v>
      </c>
      <c r="C379" s="264"/>
      <c r="D379" s="265"/>
      <c r="E379" s="212" t="str">
        <f>IFERROR(VLOOKUP($C$1,DonnéesDEF!$A$1:$RG$110,323,FALSE),"ERR")</f>
        <v>ERR</v>
      </c>
      <c r="F379" s="230"/>
      <c r="G379" s="231">
        <f>DonnéesDEF!LK$105/102</f>
        <v>0.21568627450980393</v>
      </c>
      <c r="H379" s="232"/>
      <c r="I379" s="222" t="str">
        <f>IFERROR(VLOOKUP($C$1,DonnéesDEF!$A$1:$RG$110,362,FALSE),"ERR")</f>
        <v>ERR</v>
      </c>
      <c r="J379" s="230"/>
      <c r="K379" s="231">
        <f>DonnéesDEF!MX$105/102</f>
        <v>0.16666666666666666</v>
      </c>
      <c r="L379" s="232"/>
    </row>
    <row r="381" spans="1:18" s="101" customFormat="1" ht="67.5" customHeight="1" x14ac:dyDescent="0.25">
      <c r="A381" s="179" t="s">
        <v>665</v>
      </c>
      <c r="B381" s="180"/>
      <c r="C381" s="181"/>
      <c r="D381" s="181"/>
      <c r="E381" s="181"/>
      <c r="F381" s="181"/>
      <c r="G381" s="181"/>
      <c r="H381" s="181"/>
      <c r="I381" s="181"/>
      <c r="J381" s="181"/>
      <c r="K381" s="181"/>
      <c r="L381" s="181"/>
      <c r="M381" s="181"/>
      <c r="N381" s="181"/>
      <c r="O381" s="181"/>
      <c r="P381" s="181"/>
      <c r="Q381" s="181"/>
      <c r="R381" s="181"/>
    </row>
    <row r="382" spans="1:18" ht="33.75" customHeight="1" thickBot="1" x14ac:dyDescent="0.4"/>
    <row r="383" spans="1:18" ht="33.75" customHeight="1" x14ac:dyDescent="0.7">
      <c r="A383" s="74"/>
      <c r="B383" s="194" t="s">
        <v>703</v>
      </c>
      <c r="C383" s="195"/>
      <c r="D383" s="195"/>
      <c r="E383" s="195"/>
      <c r="F383" s="195"/>
      <c r="G383" s="196"/>
      <c r="H383" s="200" t="s">
        <v>253</v>
      </c>
      <c r="I383" s="201"/>
      <c r="K383" s="194" t="s">
        <v>704</v>
      </c>
      <c r="L383" s="195"/>
      <c r="M383" s="195"/>
      <c r="N383" s="195"/>
      <c r="O383" s="195"/>
      <c r="P383" s="196"/>
      <c r="Q383" s="200" t="s">
        <v>253</v>
      </c>
      <c r="R383" s="201"/>
    </row>
    <row r="384" spans="1:18" ht="33.75" customHeight="1" thickBot="1" x14ac:dyDescent="0.4">
      <c r="B384" s="197"/>
      <c r="C384" s="198"/>
      <c r="D384" s="198"/>
      <c r="E384" s="198"/>
      <c r="F384" s="198"/>
      <c r="G384" s="199"/>
      <c r="H384" s="212"/>
      <c r="I384" s="213"/>
      <c r="K384" s="197"/>
      <c r="L384" s="198"/>
      <c r="M384" s="198"/>
      <c r="N384" s="198"/>
      <c r="O384" s="198"/>
      <c r="P384" s="199"/>
      <c r="Q384" s="202"/>
      <c r="R384" s="203"/>
    </row>
    <row r="385" spans="2:18" ht="33.75" customHeight="1" x14ac:dyDescent="0.35">
      <c r="B385" s="204" t="s">
        <v>694</v>
      </c>
      <c r="C385" s="205"/>
      <c r="D385" s="205"/>
      <c r="E385" s="205"/>
      <c r="F385" s="205"/>
      <c r="G385" s="223"/>
      <c r="H385" s="217" t="str">
        <f>IFERROR(VLOOKUP($C$1,DonnéesDEF!$A$1:$NM$110,363,FALSE),"ERR")</f>
        <v>ERR</v>
      </c>
      <c r="I385" s="218"/>
      <c r="K385" s="204" t="s">
        <v>705</v>
      </c>
      <c r="L385" s="205"/>
      <c r="M385" s="205"/>
      <c r="N385" s="205"/>
      <c r="O385" s="205"/>
      <c r="P385" s="206"/>
      <c r="Q385" s="200" t="str">
        <f>IFERROR(VLOOKUP($C$1,DonnéesDEF!$A$1:$NQ$110,378,FALSE),"ERR")</f>
        <v>ERR</v>
      </c>
      <c r="R385" s="201"/>
    </row>
    <row r="386" spans="2:18" ht="33.75" customHeight="1" x14ac:dyDescent="0.35">
      <c r="B386" s="207"/>
      <c r="C386" s="208"/>
      <c r="D386" s="208"/>
      <c r="E386" s="208"/>
      <c r="F386" s="208"/>
      <c r="G386" s="220"/>
      <c r="H386" s="219"/>
      <c r="I386" s="211"/>
      <c r="K386" s="207"/>
      <c r="L386" s="208"/>
      <c r="M386" s="208"/>
      <c r="N386" s="208"/>
      <c r="O386" s="208"/>
      <c r="P386" s="209"/>
      <c r="Q386" s="210"/>
      <c r="R386" s="211"/>
    </row>
    <row r="387" spans="2:18" ht="33.75" customHeight="1" x14ac:dyDescent="0.35">
      <c r="B387" s="207" t="s">
        <v>695</v>
      </c>
      <c r="C387" s="208"/>
      <c r="D387" s="208"/>
      <c r="E387" s="208"/>
      <c r="F387" s="208"/>
      <c r="G387" s="220"/>
      <c r="H387" s="219" t="str">
        <f>IFERROR(VLOOKUP($C$1,DonnéesDEF!$A$1:$NM$110,367,FALSE),"ERR")</f>
        <v>ERR</v>
      </c>
      <c r="I387" s="211"/>
      <c r="K387" s="207" t="s">
        <v>706</v>
      </c>
      <c r="L387" s="208"/>
      <c r="M387" s="208"/>
      <c r="N387" s="208"/>
      <c r="O387" s="208"/>
      <c r="P387" s="209"/>
      <c r="Q387" s="210" t="str">
        <f>IFERROR(VLOOKUP($C$1,DonnéesDEF!$A$1:$NM$110,373,FALSE),"ERR")</f>
        <v>ERR</v>
      </c>
      <c r="R387" s="211"/>
    </row>
    <row r="388" spans="2:18" ht="33.75" customHeight="1" x14ac:dyDescent="0.35">
      <c r="B388" s="207"/>
      <c r="C388" s="208"/>
      <c r="D388" s="208"/>
      <c r="E388" s="208"/>
      <c r="F388" s="208"/>
      <c r="G388" s="220"/>
      <c r="H388" s="219"/>
      <c r="I388" s="211"/>
      <c r="K388" s="207"/>
      <c r="L388" s="208"/>
      <c r="M388" s="208"/>
      <c r="N388" s="208"/>
      <c r="O388" s="208"/>
      <c r="P388" s="209"/>
      <c r="Q388" s="210"/>
      <c r="R388" s="211"/>
    </row>
    <row r="389" spans="2:18" ht="33.75" customHeight="1" x14ac:dyDescent="0.35">
      <c r="B389" s="207" t="s">
        <v>696</v>
      </c>
      <c r="C389" s="208"/>
      <c r="D389" s="208"/>
      <c r="E389" s="208"/>
      <c r="F389" s="208"/>
      <c r="G389" s="220"/>
      <c r="H389" s="219" t="str">
        <f>IFERROR(VLOOKUP($C$1,DonnéesDEF!$A$1:$NM$110,366,FALSE),"ERR")</f>
        <v>ERR</v>
      </c>
      <c r="I389" s="211"/>
      <c r="K389" s="207" t="s">
        <v>707</v>
      </c>
      <c r="L389" s="208"/>
      <c r="M389" s="208"/>
      <c r="N389" s="208"/>
      <c r="O389" s="208"/>
      <c r="P389" s="209"/>
      <c r="Q389" s="210" t="str">
        <f>IFERROR(VLOOKUP($C$1,DonnéesDEF!$A$1:$NM$110,377,FALSE),"ERR")</f>
        <v>ERR</v>
      </c>
      <c r="R389" s="211"/>
    </row>
    <row r="390" spans="2:18" ht="33.75" customHeight="1" x14ac:dyDescent="0.35">
      <c r="B390" s="207"/>
      <c r="C390" s="208"/>
      <c r="D390" s="208"/>
      <c r="E390" s="208"/>
      <c r="F390" s="208"/>
      <c r="G390" s="220"/>
      <c r="H390" s="219"/>
      <c r="I390" s="211"/>
      <c r="K390" s="207"/>
      <c r="L390" s="208"/>
      <c r="M390" s="208"/>
      <c r="N390" s="208"/>
      <c r="O390" s="208"/>
      <c r="P390" s="209"/>
      <c r="Q390" s="210"/>
      <c r="R390" s="211"/>
    </row>
    <row r="391" spans="2:18" ht="33.75" customHeight="1" x14ac:dyDescent="0.35">
      <c r="B391" s="207" t="s">
        <v>697</v>
      </c>
      <c r="C391" s="208"/>
      <c r="D391" s="208"/>
      <c r="E391" s="208"/>
      <c r="F391" s="208"/>
      <c r="G391" s="220"/>
      <c r="H391" s="219" t="str">
        <f>IFERROR(VLOOKUP($C$1,DonnéesDEF!$A$1:$NM$110,365,FALSE),"ERR")</f>
        <v>ERR</v>
      </c>
      <c r="I391" s="211"/>
      <c r="K391" s="207" t="s">
        <v>708</v>
      </c>
      <c r="L391" s="208"/>
      <c r="M391" s="208"/>
      <c r="N391" s="208"/>
      <c r="O391" s="208"/>
      <c r="P391" s="209"/>
      <c r="Q391" s="210" t="str">
        <f>IFERROR(VLOOKUP($C$1,DonnéesDEF!$A$1:$NQ$110,379,FALSE),"ERR")</f>
        <v>ERR</v>
      </c>
      <c r="R391" s="211"/>
    </row>
    <row r="392" spans="2:18" ht="33.75" customHeight="1" x14ac:dyDescent="0.35">
      <c r="B392" s="207"/>
      <c r="C392" s="208"/>
      <c r="D392" s="208"/>
      <c r="E392" s="208"/>
      <c r="F392" s="208"/>
      <c r="G392" s="220"/>
      <c r="H392" s="219"/>
      <c r="I392" s="211"/>
      <c r="K392" s="207"/>
      <c r="L392" s="208"/>
      <c r="M392" s="208"/>
      <c r="N392" s="208"/>
      <c r="O392" s="208"/>
      <c r="P392" s="209"/>
      <c r="Q392" s="210"/>
      <c r="R392" s="211"/>
    </row>
    <row r="393" spans="2:18" ht="33.75" customHeight="1" x14ac:dyDescent="0.35">
      <c r="B393" s="207" t="s">
        <v>698</v>
      </c>
      <c r="C393" s="208"/>
      <c r="D393" s="208"/>
      <c r="E393" s="208"/>
      <c r="F393" s="208"/>
      <c r="G393" s="220"/>
      <c r="H393" s="219" t="str">
        <f>IFERROR(VLOOKUP($C$1,DonnéesDEF!$A$1:$NM$110,369,FALSE),"ERR")</f>
        <v>ERR</v>
      </c>
      <c r="I393" s="211"/>
      <c r="K393" s="207" t="s">
        <v>700</v>
      </c>
      <c r="L393" s="208"/>
      <c r="M393" s="208"/>
      <c r="N393" s="208"/>
      <c r="O393" s="208"/>
      <c r="P393" s="209"/>
      <c r="Q393" s="210" t="str">
        <f>IFERROR(VLOOKUP($C$1,DonnéesDEF!$A$1:$NM$110,375,FALSE),"ERR")</f>
        <v>ERR</v>
      </c>
      <c r="R393" s="211"/>
    </row>
    <row r="394" spans="2:18" ht="33.75" customHeight="1" x14ac:dyDescent="0.35">
      <c r="B394" s="207"/>
      <c r="C394" s="208"/>
      <c r="D394" s="208"/>
      <c r="E394" s="208"/>
      <c r="F394" s="208"/>
      <c r="G394" s="220"/>
      <c r="H394" s="219"/>
      <c r="I394" s="211"/>
      <c r="K394" s="207"/>
      <c r="L394" s="208"/>
      <c r="M394" s="208"/>
      <c r="N394" s="208"/>
      <c r="O394" s="208"/>
      <c r="P394" s="209"/>
      <c r="Q394" s="210"/>
      <c r="R394" s="211"/>
    </row>
    <row r="395" spans="2:18" ht="33.75" customHeight="1" x14ac:dyDescent="0.35">
      <c r="B395" s="207" t="s">
        <v>699</v>
      </c>
      <c r="C395" s="208"/>
      <c r="D395" s="208"/>
      <c r="E395" s="208"/>
      <c r="F395" s="208"/>
      <c r="G395" s="220"/>
      <c r="H395" s="219" t="str">
        <f>IFERROR(VLOOKUP($C$1,DonnéesDEF!$A$1:$NM$110,364,FALSE),"ERR")</f>
        <v>ERR</v>
      </c>
      <c r="I395" s="211"/>
      <c r="K395" s="207" t="s">
        <v>709</v>
      </c>
      <c r="L395" s="208"/>
      <c r="M395" s="208"/>
      <c r="N395" s="208"/>
      <c r="O395" s="208"/>
      <c r="P395" s="209"/>
      <c r="Q395" s="210" t="str">
        <f>IFERROR(VLOOKUP($C$1,DonnéesDEF!$A$1:$NQ$110,381,FALSE),"ERR")</f>
        <v>ERR</v>
      </c>
      <c r="R395" s="211"/>
    </row>
    <row r="396" spans="2:18" ht="33.75" customHeight="1" x14ac:dyDescent="0.35">
      <c r="B396" s="207"/>
      <c r="C396" s="208"/>
      <c r="D396" s="208"/>
      <c r="E396" s="208"/>
      <c r="F396" s="208"/>
      <c r="G396" s="220"/>
      <c r="H396" s="219"/>
      <c r="I396" s="211"/>
      <c r="K396" s="207"/>
      <c r="L396" s="208"/>
      <c r="M396" s="208"/>
      <c r="N396" s="208"/>
      <c r="O396" s="208"/>
      <c r="P396" s="209"/>
      <c r="Q396" s="210"/>
      <c r="R396" s="211"/>
    </row>
    <row r="397" spans="2:18" ht="33.75" customHeight="1" x14ac:dyDescent="0.35">
      <c r="B397" s="207" t="s">
        <v>700</v>
      </c>
      <c r="C397" s="208"/>
      <c r="D397" s="208"/>
      <c r="E397" s="208"/>
      <c r="F397" s="208"/>
      <c r="G397" s="220"/>
      <c r="H397" s="219" t="str">
        <f>IFERROR(VLOOKUP($C$1,DonnéesDEF!$A$1:$NM$110,368,FALSE),"ERR")</f>
        <v>ERR</v>
      </c>
      <c r="I397" s="211"/>
      <c r="K397" s="207" t="s">
        <v>710</v>
      </c>
      <c r="L397" s="208"/>
      <c r="M397" s="208"/>
      <c r="N397" s="208"/>
      <c r="O397" s="208"/>
      <c r="P397" s="209"/>
      <c r="Q397" s="210" t="str">
        <f>IFERROR(VLOOKUP($C$1,DonnéesDEF!$A$1:$NQ$110,380,FALSE),"ERR")</f>
        <v>ERR</v>
      </c>
      <c r="R397" s="211"/>
    </row>
    <row r="398" spans="2:18" ht="33.75" customHeight="1" x14ac:dyDescent="0.35">
      <c r="B398" s="207"/>
      <c r="C398" s="208"/>
      <c r="D398" s="208"/>
      <c r="E398" s="208"/>
      <c r="F398" s="208"/>
      <c r="G398" s="220"/>
      <c r="H398" s="219"/>
      <c r="I398" s="211"/>
      <c r="K398" s="207"/>
      <c r="L398" s="208"/>
      <c r="M398" s="208"/>
      <c r="N398" s="208"/>
      <c r="O398" s="208"/>
      <c r="P398" s="209"/>
      <c r="Q398" s="210"/>
      <c r="R398" s="211"/>
    </row>
    <row r="399" spans="2:18" ht="33.75" customHeight="1" x14ac:dyDescent="0.35">
      <c r="B399" s="207" t="s">
        <v>701</v>
      </c>
      <c r="C399" s="208"/>
      <c r="D399" s="208"/>
      <c r="E399" s="208"/>
      <c r="F399" s="208"/>
      <c r="G399" s="220"/>
      <c r="H399" s="219" t="str">
        <f>IFERROR(VLOOKUP($C$1,DonnéesDEF!$A$1:$NM$110,370,FALSE),"ERR")</f>
        <v>ERR</v>
      </c>
      <c r="I399" s="211"/>
      <c r="K399" s="207" t="s">
        <v>711</v>
      </c>
      <c r="L399" s="208"/>
      <c r="M399" s="208"/>
      <c r="N399" s="208"/>
      <c r="O399" s="208"/>
      <c r="P399" s="209"/>
      <c r="Q399" s="210" t="str">
        <f>IFERROR(VLOOKUP($C$1,DonnéesDEF!$A$1:$NM$110,376,FALSE),"ERR")</f>
        <v>ERR</v>
      </c>
      <c r="R399" s="211"/>
    </row>
    <row r="400" spans="2:18" ht="33.75" customHeight="1" x14ac:dyDescent="0.35">
      <c r="B400" s="207"/>
      <c r="C400" s="208"/>
      <c r="D400" s="208"/>
      <c r="E400" s="208"/>
      <c r="F400" s="208"/>
      <c r="G400" s="220"/>
      <c r="H400" s="219"/>
      <c r="I400" s="211"/>
      <c r="K400" s="207"/>
      <c r="L400" s="208"/>
      <c r="M400" s="208"/>
      <c r="N400" s="208"/>
      <c r="O400" s="208"/>
      <c r="P400" s="209"/>
      <c r="Q400" s="210"/>
      <c r="R400" s="211"/>
    </row>
    <row r="401" spans="2:18" ht="33.75" customHeight="1" x14ac:dyDescent="0.35">
      <c r="B401" s="207" t="s">
        <v>702</v>
      </c>
      <c r="C401" s="208"/>
      <c r="D401" s="208"/>
      <c r="E401" s="208"/>
      <c r="F401" s="208"/>
      <c r="G401" s="220"/>
      <c r="H401" s="219" t="str">
        <f>IFERROR(VLOOKUP($C$1,DonnéesDEF!$A$1:$NM$110,371,FALSE),"ERR")</f>
        <v>ERR</v>
      </c>
      <c r="I401" s="211"/>
      <c r="K401" s="207" t="s">
        <v>712</v>
      </c>
      <c r="L401" s="208"/>
      <c r="M401" s="208"/>
      <c r="N401" s="208"/>
      <c r="O401" s="208"/>
      <c r="P401" s="209"/>
      <c r="Q401" s="210" t="str">
        <f>IFERROR(VLOOKUP($C$1,DonnéesDEF!$A$1:$NM$110,374,FALSE),"ERR")</f>
        <v>ERR</v>
      </c>
      <c r="R401" s="211"/>
    </row>
    <row r="402" spans="2:18" ht="33.75" customHeight="1" thickBot="1" x14ac:dyDescent="0.4">
      <c r="B402" s="207"/>
      <c r="C402" s="208"/>
      <c r="D402" s="208"/>
      <c r="E402" s="208"/>
      <c r="F402" s="208"/>
      <c r="G402" s="220"/>
      <c r="H402" s="219"/>
      <c r="I402" s="211"/>
      <c r="K402" s="214"/>
      <c r="L402" s="215"/>
      <c r="M402" s="215"/>
      <c r="N402" s="215"/>
      <c r="O402" s="215"/>
      <c r="P402" s="216"/>
      <c r="Q402" s="212"/>
      <c r="R402" s="213"/>
    </row>
    <row r="403" spans="2:18" ht="33.75" customHeight="1" x14ac:dyDescent="0.35">
      <c r="B403" s="207" t="s">
        <v>292</v>
      </c>
      <c r="C403" s="208"/>
      <c r="D403" s="208"/>
      <c r="E403" s="208"/>
      <c r="F403" s="208"/>
      <c r="G403" s="220"/>
      <c r="H403" s="219" t="str">
        <f>IFERROR(VLOOKUP($C$1,DonnéesDEF!$A$1:$NM$110,372,FALSE),"ERR")</f>
        <v>ERR</v>
      </c>
      <c r="I403" s="211"/>
    </row>
    <row r="404" spans="2:18" ht="33.75" customHeight="1" thickBot="1" x14ac:dyDescent="0.4">
      <c r="B404" s="214"/>
      <c r="C404" s="215"/>
      <c r="D404" s="215"/>
      <c r="E404" s="215"/>
      <c r="F404" s="215"/>
      <c r="G404" s="221"/>
      <c r="H404" s="222"/>
      <c r="I404" s="213"/>
    </row>
  </sheetData>
  <mergeCells count="312">
    <mergeCell ref="G358:H358"/>
    <mergeCell ref="G359:H359"/>
    <mergeCell ref="G360:H360"/>
    <mergeCell ref="G361:H361"/>
    <mergeCell ref="G362:H362"/>
    <mergeCell ref="G363:H363"/>
    <mergeCell ref="G364:H364"/>
    <mergeCell ref="G365:H365"/>
    <mergeCell ref="G366:H366"/>
    <mergeCell ref="G376:H376"/>
    <mergeCell ref="G377:H377"/>
    <mergeCell ref="G378:H378"/>
    <mergeCell ref="G379:H379"/>
    <mergeCell ref="G367:H367"/>
    <mergeCell ref="G368:H368"/>
    <mergeCell ref="G369:H369"/>
    <mergeCell ref="G370:H370"/>
    <mergeCell ref="G371:H371"/>
    <mergeCell ref="G372:H372"/>
    <mergeCell ref="G373:H373"/>
    <mergeCell ref="G374:H374"/>
    <mergeCell ref="G375:H375"/>
    <mergeCell ref="G349:H349"/>
    <mergeCell ref="G350:H350"/>
    <mergeCell ref="G351:H351"/>
    <mergeCell ref="G352:H352"/>
    <mergeCell ref="G353:H353"/>
    <mergeCell ref="G354:H354"/>
    <mergeCell ref="G356:H356"/>
    <mergeCell ref="G357:H357"/>
    <mergeCell ref="G341:H341"/>
    <mergeCell ref="G342:H342"/>
    <mergeCell ref="G343:H343"/>
    <mergeCell ref="G344:H344"/>
    <mergeCell ref="G345:H345"/>
    <mergeCell ref="G346:H346"/>
    <mergeCell ref="G347:H347"/>
    <mergeCell ref="G348:H348"/>
    <mergeCell ref="G355:H355"/>
    <mergeCell ref="N126:N128"/>
    <mergeCell ref="O126:O128"/>
    <mergeCell ref="P126:P128"/>
    <mergeCell ref="N124:N125"/>
    <mergeCell ref="O124:O125"/>
    <mergeCell ref="P124:P125"/>
    <mergeCell ref="K126:M128"/>
    <mergeCell ref="A126:C128"/>
    <mergeCell ref="D124:E125"/>
    <mergeCell ref="F124:G125"/>
    <mergeCell ref="H124:I125"/>
    <mergeCell ref="D126:E128"/>
    <mergeCell ref="F126:G128"/>
    <mergeCell ref="H126:I128"/>
    <mergeCell ref="N133:N134"/>
    <mergeCell ref="A135:C137"/>
    <mergeCell ref="D135:D137"/>
    <mergeCell ref="H133:H134"/>
    <mergeCell ref="I133:I134"/>
    <mergeCell ref="D131:I132"/>
    <mergeCell ref="E135:E137"/>
    <mergeCell ref="F135:F137"/>
    <mergeCell ref="G135:G137"/>
    <mergeCell ref="H135:H137"/>
    <mergeCell ref="I135:I137"/>
    <mergeCell ref="D133:D134"/>
    <mergeCell ref="E133:E134"/>
    <mergeCell ref="F133:F134"/>
    <mergeCell ref="G133:G134"/>
    <mergeCell ref="C198:D198"/>
    <mergeCell ref="C197:D197"/>
    <mergeCell ref="C196:D196"/>
    <mergeCell ref="C194:D195"/>
    <mergeCell ref="E194:G195"/>
    <mergeCell ref="C200:D200"/>
    <mergeCell ref="C199:D199"/>
    <mergeCell ref="K135:M137"/>
    <mergeCell ref="A140:Q140"/>
    <mergeCell ref="E192:G192"/>
    <mergeCell ref="N135:N137"/>
    <mergeCell ref="I199:I200"/>
    <mergeCell ref="J199:J200"/>
    <mergeCell ref="K199:K200"/>
    <mergeCell ref="I197:I198"/>
    <mergeCell ref="J197:J198"/>
    <mergeCell ref="K197:K198"/>
    <mergeCell ref="I192:K196"/>
    <mergeCell ref="B341:D341"/>
    <mergeCell ref="B342:D342"/>
    <mergeCell ref="B343:D343"/>
    <mergeCell ref="B344:D344"/>
    <mergeCell ref="B345:D345"/>
    <mergeCell ref="K224:L224"/>
    <mergeCell ref="N207:O210"/>
    <mergeCell ref="N211:O211"/>
    <mergeCell ref="N224:O224"/>
    <mergeCell ref="N212:O223"/>
    <mergeCell ref="K207:L210"/>
    <mergeCell ref="K211:L211"/>
    <mergeCell ref="K212:L223"/>
    <mergeCell ref="E212:E223"/>
    <mergeCell ref="B207:E210"/>
    <mergeCell ref="G207:I210"/>
    <mergeCell ref="G212:G223"/>
    <mergeCell ref="H212:H223"/>
    <mergeCell ref="I212:I223"/>
    <mergeCell ref="B212:B223"/>
    <mergeCell ref="C212:C223"/>
    <mergeCell ref="D212:D223"/>
    <mergeCell ref="B211:E211"/>
    <mergeCell ref="G211:I211"/>
    <mergeCell ref="B351:D351"/>
    <mergeCell ref="B352:D352"/>
    <mergeCell ref="B353:D353"/>
    <mergeCell ref="B354:D354"/>
    <mergeCell ref="B356:D356"/>
    <mergeCell ref="B346:D346"/>
    <mergeCell ref="B347:D347"/>
    <mergeCell ref="B348:D348"/>
    <mergeCell ref="B349:D349"/>
    <mergeCell ref="B350:D350"/>
    <mergeCell ref="B355:D355"/>
    <mergeCell ref="B377:D377"/>
    <mergeCell ref="B378:D378"/>
    <mergeCell ref="B379:D379"/>
    <mergeCell ref="B372:D372"/>
    <mergeCell ref="B373:D373"/>
    <mergeCell ref="B374:D374"/>
    <mergeCell ref="B375:D375"/>
    <mergeCell ref="B376:D376"/>
    <mergeCell ref="B367:D367"/>
    <mergeCell ref="B368:D368"/>
    <mergeCell ref="B369:D369"/>
    <mergeCell ref="B370:D370"/>
    <mergeCell ref="B371:D371"/>
    <mergeCell ref="B362:D362"/>
    <mergeCell ref="B363:D363"/>
    <mergeCell ref="B364:D364"/>
    <mergeCell ref="B365:D365"/>
    <mergeCell ref="B366:D366"/>
    <mergeCell ref="B357:D357"/>
    <mergeCell ref="B358:D358"/>
    <mergeCell ref="B359:D359"/>
    <mergeCell ref="B360:D360"/>
    <mergeCell ref="B361:D361"/>
    <mergeCell ref="E353:F353"/>
    <mergeCell ref="E354:F354"/>
    <mergeCell ref="E356:F356"/>
    <mergeCell ref="E357:F357"/>
    <mergeCell ref="E341:F341"/>
    <mergeCell ref="E342:F342"/>
    <mergeCell ref="E343:F343"/>
    <mergeCell ref="E344:F344"/>
    <mergeCell ref="E345:F345"/>
    <mergeCell ref="E346:F346"/>
    <mergeCell ref="E347:F347"/>
    <mergeCell ref="E348:F348"/>
    <mergeCell ref="E349:F349"/>
    <mergeCell ref="E350:F350"/>
    <mergeCell ref="E351:F351"/>
    <mergeCell ref="E355:F355"/>
    <mergeCell ref="E378:F378"/>
    <mergeCell ref="E379:F379"/>
    <mergeCell ref="G338:H340"/>
    <mergeCell ref="E373:F373"/>
    <mergeCell ref="E374:F374"/>
    <mergeCell ref="E375:F375"/>
    <mergeCell ref="E376:F376"/>
    <mergeCell ref="E377:F377"/>
    <mergeCell ref="E368:F368"/>
    <mergeCell ref="E369:F369"/>
    <mergeCell ref="E370:F370"/>
    <mergeCell ref="E371:F371"/>
    <mergeCell ref="E372:F372"/>
    <mergeCell ref="E363:F363"/>
    <mergeCell ref="E364:F364"/>
    <mergeCell ref="E365:F365"/>
    <mergeCell ref="E366:F366"/>
    <mergeCell ref="E367:F367"/>
    <mergeCell ref="E358:F358"/>
    <mergeCell ref="E359:F359"/>
    <mergeCell ref="E360:F360"/>
    <mergeCell ref="E361:F361"/>
    <mergeCell ref="E362:F362"/>
    <mergeCell ref="E352:F352"/>
    <mergeCell ref="I342:J342"/>
    <mergeCell ref="K342:L342"/>
    <mergeCell ref="I343:J343"/>
    <mergeCell ref="K343:L343"/>
    <mergeCell ref="I344:J344"/>
    <mergeCell ref="K344:L344"/>
    <mergeCell ref="I338:J340"/>
    <mergeCell ref="K338:L340"/>
    <mergeCell ref="I341:J341"/>
    <mergeCell ref="K341:L341"/>
    <mergeCell ref="I348:J348"/>
    <mergeCell ref="K348:L348"/>
    <mergeCell ref="I349:J349"/>
    <mergeCell ref="K349:L349"/>
    <mergeCell ref="I350:J350"/>
    <mergeCell ref="K350:L350"/>
    <mergeCell ref="I345:J345"/>
    <mergeCell ref="K345:L345"/>
    <mergeCell ref="I346:J346"/>
    <mergeCell ref="K346:L346"/>
    <mergeCell ref="I347:J347"/>
    <mergeCell ref="K347:L347"/>
    <mergeCell ref="I354:J354"/>
    <mergeCell ref="K354:L354"/>
    <mergeCell ref="I356:J356"/>
    <mergeCell ref="K356:L356"/>
    <mergeCell ref="I357:J357"/>
    <mergeCell ref="K357:L357"/>
    <mergeCell ref="I351:J351"/>
    <mergeCell ref="K351:L351"/>
    <mergeCell ref="I352:J352"/>
    <mergeCell ref="K352:L352"/>
    <mergeCell ref="I353:J353"/>
    <mergeCell ref="K353:L353"/>
    <mergeCell ref="I355:J355"/>
    <mergeCell ref="K355:L355"/>
    <mergeCell ref="I361:J361"/>
    <mergeCell ref="K361:L361"/>
    <mergeCell ref="I362:J362"/>
    <mergeCell ref="K362:L362"/>
    <mergeCell ref="I363:J363"/>
    <mergeCell ref="K363:L363"/>
    <mergeCell ref="I358:J358"/>
    <mergeCell ref="K358:L358"/>
    <mergeCell ref="I359:J359"/>
    <mergeCell ref="K359:L359"/>
    <mergeCell ref="I360:J360"/>
    <mergeCell ref="K360:L360"/>
    <mergeCell ref="I372:J372"/>
    <mergeCell ref="K372:L372"/>
    <mergeCell ref="I367:J367"/>
    <mergeCell ref="K367:L367"/>
    <mergeCell ref="I368:J368"/>
    <mergeCell ref="K368:L368"/>
    <mergeCell ref="I369:J369"/>
    <mergeCell ref="K369:L369"/>
    <mergeCell ref="I364:J364"/>
    <mergeCell ref="K364:L364"/>
    <mergeCell ref="I365:J365"/>
    <mergeCell ref="K365:L365"/>
    <mergeCell ref="I366:J366"/>
    <mergeCell ref="K366:L366"/>
    <mergeCell ref="E335:F336"/>
    <mergeCell ref="D335:D336"/>
    <mergeCell ref="I379:J379"/>
    <mergeCell ref="K379:L379"/>
    <mergeCell ref="E338:F340"/>
    <mergeCell ref="I335:J336"/>
    <mergeCell ref="I333:J334"/>
    <mergeCell ref="E333:F334"/>
    <mergeCell ref="I376:J376"/>
    <mergeCell ref="K376:L376"/>
    <mergeCell ref="I377:J377"/>
    <mergeCell ref="K377:L377"/>
    <mergeCell ref="I378:J378"/>
    <mergeCell ref="K378:L378"/>
    <mergeCell ref="I373:J373"/>
    <mergeCell ref="K373:L373"/>
    <mergeCell ref="I374:J374"/>
    <mergeCell ref="K374:L374"/>
    <mergeCell ref="I375:J375"/>
    <mergeCell ref="K375:L375"/>
    <mergeCell ref="I370:J370"/>
    <mergeCell ref="K370:L370"/>
    <mergeCell ref="I371:J371"/>
    <mergeCell ref="K371:L371"/>
    <mergeCell ref="B403:G404"/>
    <mergeCell ref="B401:G402"/>
    <mergeCell ref="H403:I404"/>
    <mergeCell ref="H401:I402"/>
    <mergeCell ref="H399:I400"/>
    <mergeCell ref="H393:I394"/>
    <mergeCell ref="H397:I398"/>
    <mergeCell ref="B385:G386"/>
    <mergeCell ref="B387:G388"/>
    <mergeCell ref="B389:G390"/>
    <mergeCell ref="B391:G392"/>
    <mergeCell ref="B393:G394"/>
    <mergeCell ref="B383:G384"/>
    <mergeCell ref="H383:I384"/>
    <mergeCell ref="H385:I386"/>
    <mergeCell ref="H387:I388"/>
    <mergeCell ref="H389:I390"/>
    <mergeCell ref="H391:I392"/>
    <mergeCell ref="H395:I396"/>
    <mergeCell ref="B399:G400"/>
    <mergeCell ref="B397:G398"/>
    <mergeCell ref="B395:G396"/>
    <mergeCell ref="K383:P384"/>
    <mergeCell ref="Q383:R384"/>
    <mergeCell ref="K385:P386"/>
    <mergeCell ref="Q387:R388"/>
    <mergeCell ref="K387:P388"/>
    <mergeCell ref="Q401:R402"/>
    <mergeCell ref="K389:P390"/>
    <mergeCell ref="Q393:R394"/>
    <mergeCell ref="K391:P392"/>
    <mergeCell ref="Q399:R400"/>
    <mergeCell ref="K393:P394"/>
    <mergeCell ref="Q389:R390"/>
    <mergeCell ref="K395:P396"/>
    <mergeCell ref="Q385:R386"/>
    <mergeCell ref="K397:P398"/>
    <mergeCell ref="Q391:R392"/>
    <mergeCell ref="K399:P400"/>
    <mergeCell ref="Q397:R398"/>
    <mergeCell ref="K401:P402"/>
    <mergeCell ref="Q395:R396"/>
  </mergeCells>
  <phoneticPr fontId="25" type="noConversion"/>
  <conditionalFormatting sqref="E5">
    <cfRule type="containsText" dxfId="35" priority="51" operator="containsText" text="baisse">
      <formula>NOT(ISERROR(SEARCH("baisse",E5)))</formula>
    </cfRule>
    <cfRule type="containsText" dxfId="34" priority="52" operator="containsText" text="hausse">
      <formula>NOT(ISERROR(SEARCH("hausse",E5)))</formula>
    </cfRule>
  </conditionalFormatting>
  <conditionalFormatting sqref="C139 C147:C149 C144:C145 C141">
    <cfRule type="containsText" dxfId="33" priority="49" operator="containsText" text="&lt;">
      <formula>NOT(ISERROR(SEARCH("&lt;",C139)))</formula>
    </cfRule>
    <cfRule type="containsText" dxfId="32" priority="50" operator="containsText" text="&gt;">
      <formula>NOT(ISERROR(SEARCH("&gt;",C139)))</formula>
    </cfRule>
  </conditionalFormatting>
  <conditionalFormatting sqref="E5">
    <cfRule type="containsText" dxfId="31" priority="48" operator="containsText" text="stable">
      <formula>NOT(ISERROR(SEARCH("stable",E5)))</formula>
    </cfRule>
  </conditionalFormatting>
  <conditionalFormatting sqref="D5">
    <cfRule type="containsText" dxfId="30" priority="45" operator="containsText" text="baisse">
      <formula>NOT(ISERROR(SEARCH("baisse",D5)))</formula>
    </cfRule>
    <cfRule type="containsText" dxfId="29" priority="46" operator="containsText" text="hausse">
      <formula>NOT(ISERROR(SEARCH("hausse",D5)))</formula>
    </cfRule>
  </conditionalFormatting>
  <conditionalFormatting sqref="D5">
    <cfRule type="containsText" dxfId="28" priority="44" operator="containsText" text="stable">
      <formula>NOT(ISERROR(SEARCH("stable",D5)))</formula>
    </cfRule>
  </conditionalFormatting>
  <conditionalFormatting sqref="N135 K224:K225 N224:N225 H385 H395 H391 H389 H387 H397 H393 H399 H401 H403">
    <cfRule type="containsText" dxfId="27" priority="43" operator="containsText" text="OUI">
      <formula>NOT(ISERROR(SEARCH("OUI",H135)))</formula>
    </cfRule>
  </conditionalFormatting>
  <conditionalFormatting sqref="D135:I135">
    <cfRule type="containsText" dxfId="26" priority="42" operator="containsText" text="OUI">
      <formula>NOT(ISERROR(SEARCH("OUI",D135)))</formula>
    </cfRule>
  </conditionalFormatting>
  <conditionalFormatting sqref="C155">
    <cfRule type="containsText" dxfId="25" priority="40" operator="containsText" text="&lt;">
      <formula>NOT(ISERROR(SEARCH("&lt;",C155)))</formula>
    </cfRule>
    <cfRule type="containsText" dxfId="24" priority="41" operator="containsText" text="&gt;">
      <formula>NOT(ISERROR(SEARCH("&gt;",C155)))</formula>
    </cfRule>
  </conditionalFormatting>
  <conditionalFormatting sqref="B224:E225">
    <cfRule type="containsText" dxfId="23" priority="38" operator="containsText" text="OUI">
      <formula>NOT(ISERROR(SEARCH("OUI",B224)))</formula>
    </cfRule>
  </conditionalFormatting>
  <conditionalFormatting sqref="G224:I224">
    <cfRule type="containsText" dxfId="22" priority="37" operator="containsText" text="OUI">
      <formula>NOT(ISERROR(SEARCH("OUI",G224)))</formula>
    </cfRule>
  </conditionalFormatting>
  <conditionalFormatting sqref="E13">
    <cfRule type="containsText" dxfId="21" priority="35" operator="containsText" text="baisse">
      <formula>NOT(ISERROR(SEARCH("baisse",E13)))</formula>
    </cfRule>
    <cfRule type="containsText" dxfId="20" priority="36" operator="containsText" text="hausse">
      <formula>NOT(ISERROR(SEARCH("hausse",E13)))</formula>
    </cfRule>
  </conditionalFormatting>
  <conditionalFormatting sqref="E13">
    <cfRule type="containsText" dxfId="19" priority="34" operator="containsText" text="stable">
      <formula>NOT(ISERROR(SEARCH("stable",E13)))</formula>
    </cfRule>
  </conditionalFormatting>
  <conditionalFormatting sqref="D13">
    <cfRule type="containsText" dxfId="18" priority="32" operator="containsText" text="baisse">
      <formula>NOT(ISERROR(SEARCH("baisse",D13)))</formula>
    </cfRule>
    <cfRule type="containsText" dxfId="17" priority="33" operator="containsText" text="hausse">
      <formula>NOT(ISERROR(SEARCH("hausse",D13)))</formula>
    </cfRule>
  </conditionalFormatting>
  <conditionalFormatting sqref="D13">
    <cfRule type="containsText" dxfId="16" priority="31" operator="containsText" text="stable">
      <formula>NOT(ISERROR(SEARCH("stable",D13)))</formula>
    </cfRule>
  </conditionalFormatting>
  <conditionalFormatting sqref="E19">
    <cfRule type="containsText" dxfId="15" priority="29" operator="containsText" text="baisse">
      <formula>NOT(ISERROR(SEARCH("baisse",E19)))</formula>
    </cfRule>
    <cfRule type="containsText" dxfId="14" priority="30" operator="containsText" text="hausse">
      <formula>NOT(ISERROR(SEARCH("hausse",E19)))</formula>
    </cfRule>
  </conditionalFormatting>
  <conditionalFormatting sqref="E19">
    <cfRule type="containsText" dxfId="13" priority="28" operator="containsText" text="stable">
      <formula>NOT(ISERROR(SEARCH("stable",E19)))</formula>
    </cfRule>
  </conditionalFormatting>
  <conditionalFormatting sqref="D19">
    <cfRule type="containsText" dxfId="12" priority="26" operator="containsText" text="baisse">
      <formula>NOT(ISERROR(SEARCH("baisse",D19)))</formula>
    </cfRule>
    <cfRule type="containsText" dxfId="11" priority="27" operator="containsText" text="hausse">
      <formula>NOT(ISERROR(SEARCH("hausse",D19)))</formula>
    </cfRule>
  </conditionalFormatting>
  <conditionalFormatting sqref="D19">
    <cfRule type="containsText" dxfId="10" priority="25" operator="containsText" text="stable">
      <formula>NOT(ISERROR(SEARCH("stable",D19)))</formula>
    </cfRule>
  </conditionalFormatting>
  <conditionalFormatting sqref="E341">
    <cfRule type="containsText" dxfId="9" priority="22" operator="containsText" text="OUI">
      <formula>NOT(ISERROR(SEARCH("OUI",E341)))</formula>
    </cfRule>
  </conditionalFormatting>
  <conditionalFormatting sqref="I341">
    <cfRule type="containsText" dxfId="8" priority="19" operator="containsText" text="OUI">
      <formula>NOT(ISERROR(SEARCH("OUI",I341)))</formula>
    </cfRule>
  </conditionalFormatting>
  <conditionalFormatting sqref="E342:E379">
    <cfRule type="containsText" dxfId="7" priority="13" operator="containsText" text="OUI">
      <formula>NOT(ISERROR(SEARCH("OUI",E342)))</formula>
    </cfRule>
  </conditionalFormatting>
  <conditionalFormatting sqref="I342:I379">
    <cfRule type="containsText" dxfId="6" priority="12" operator="containsText" text="OUI">
      <formula>NOT(ISERROR(SEARCH("OUI",I342)))</formula>
    </cfRule>
  </conditionalFormatting>
  <conditionalFormatting sqref="I199">
    <cfRule type="expression" dxfId="5" priority="7" stopIfTrue="1">
      <formula>$C$196</formula>
    </cfRule>
  </conditionalFormatting>
  <conditionalFormatting sqref="H383">
    <cfRule type="containsText" dxfId="4" priority="4" operator="containsText" text="OUI">
      <formula>NOT(ISERROR(SEARCH("OUI",H383)))</formula>
    </cfRule>
  </conditionalFormatting>
  <conditionalFormatting sqref="Q387 Q401 Q393 Q399 Q389 Q385 Q391 Q397 Q395">
    <cfRule type="containsText" dxfId="3" priority="2" operator="containsText" text="OUI">
      <formula>NOT(ISERROR(SEARCH("OUI",Q385)))</formula>
    </cfRule>
  </conditionalFormatting>
  <conditionalFormatting sqref="Q383">
    <cfRule type="containsText" dxfId="2" priority="1" operator="containsText" text="OUI">
      <formula>NOT(ISERROR(SEARCH("OUI",Q383)))</formula>
    </cfRule>
  </conditionalFormatting>
  <dataValidations count="2">
    <dataValidation type="list" allowBlank="1" showInputMessage="1" showErrorMessage="1" sqref="D5 D13 D19" xr:uid="{498998AE-D7C6-4450-99F3-F5224817B8C2}">
      <formula1>"hausse,baisse,stable"</formula1>
    </dataValidation>
    <dataValidation type="list" allowBlank="1" showInputMessage="1" showErrorMessage="1" sqref="C147:C149 C155 C144:C145 C139 C141" xr:uid="{07B9A307-65F6-4303-97F9-076A52F699D6}">
      <formula1>"&lt;,=,&gt;"</formula1>
    </dataValidation>
  </dataValidations>
  <pageMargins left="0.70866141732283472" right="0.70866141732283472" top="0.94488188976377963" bottom="0.74803149606299213" header="0.31496062992125984" footer="0.31496062992125984"/>
  <pageSetup paperSize="9" scale="16" fitToHeight="0" orientation="portrait" r:id="rId1"/>
  <headerFooter>
    <oddHeader>&amp;L&amp;20&amp;F&amp;C&amp;"-,Gras"&amp;48TABLEAU DE BORD&amp;R&amp;20&amp;G</oddHeader>
    <oddFooter>&amp;L&amp;20Laboratoire des pratiques&amp;R&amp;20&amp;D</oddFooter>
  </headerFooter>
  <rowBreaks count="3" manualBreakCount="3">
    <brk id="121" max="16383" man="1"/>
    <brk id="225" max="16383" man="1"/>
    <brk id="330" max="16383" man="1"/>
  </rowBreaks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7" operator="containsText" id="{ECBFD5C3-3661-4B03-A7A2-D13CD3677ABD}">
            <xm:f>NOT(ISERROR(SEARCH("=",C139)))</xm:f>
            <xm:f>"="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C139 C147:C149 C144:C145 C141</xm:sqref>
        </x14:conditionalFormatting>
        <x14:conditionalFormatting xmlns:xm="http://schemas.microsoft.com/office/excel/2006/main">
          <x14:cfRule type="containsText" priority="39" operator="containsText" id="{6DE264FE-FB81-48D9-8983-BD1970600851}">
            <xm:f>NOT(ISERROR(SEARCH("=",C155)))</xm:f>
            <xm:f>"="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C155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D6C56-CF54-4EED-B67B-66A680DA00F8}">
  <sheetPr codeName="Feuil3"/>
  <dimension ref="A1:NS1048537"/>
  <sheetViews>
    <sheetView workbookViewId="0">
      <pane xSplit="4" ySplit="1" topLeftCell="NH17" activePane="bottomRight" state="frozen"/>
      <selection pane="topRight" activeCell="E1" sqref="E1"/>
      <selection pane="bottomLeft" activeCell="A2" sqref="A2"/>
      <selection pane="bottomRight" activeCell="NT105" sqref="NT105"/>
    </sheetView>
  </sheetViews>
  <sheetFormatPr baseColWidth="10" defaultRowHeight="15" x14ac:dyDescent="0.25"/>
  <cols>
    <col min="1" max="1" width="9.28515625" bestFit="1" customWidth="1"/>
    <col min="2" max="2" width="37.28515625" bestFit="1" customWidth="1"/>
    <col min="3" max="3" width="4.42578125" bestFit="1" customWidth="1"/>
    <col min="4" max="4" width="43.42578125" bestFit="1" customWidth="1"/>
    <col min="5" max="6" width="7.42578125" style="28" bestFit="1" customWidth="1"/>
    <col min="7" max="9" width="7.42578125" style="28" customWidth="1"/>
    <col min="10" max="12" width="9.140625" style="29" bestFit="1" customWidth="1"/>
    <col min="13" max="14" width="9.140625" style="29" customWidth="1"/>
    <col min="15" max="16" width="10.7109375" style="31" bestFit="1" customWidth="1"/>
    <col min="17" max="19" width="10.7109375" style="31" customWidth="1"/>
    <col min="20" max="21" width="10.7109375" style="30" bestFit="1" customWidth="1"/>
    <col min="22" max="24" width="10.7109375" style="30" customWidth="1"/>
    <col min="25" max="27" width="6.7109375" style="30" customWidth="1"/>
    <col min="28" max="30" width="6.7109375" style="31" customWidth="1"/>
    <col min="31" max="32" width="11.42578125" style="35"/>
    <col min="37" max="42" width="14.140625" style="47" customWidth="1"/>
    <col min="44" max="44" width="11.42578125" style="51"/>
    <col min="45" max="45" width="11.42578125" style="52"/>
    <col min="46" max="46" width="11.42578125" style="51"/>
    <col min="47" max="50" width="11.42578125" style="52"/>
    <col min="53" max="61" width="11.42578125" style="52"/>
  </cols>
  <sheetData>
    <row r="1" spans="1:383" ht="228.75" x14ac:dyDescent="0.25">
      <c r="A1" s="1" t="s">
        <v>10</v>
      </c>
      <c r="B1" s="2"/>
      <c r="C1" s="3" t="s">
        <v>11</v>
      </c>
      <c r="D1" s="3" t="s">
        <v>12</v>
      </c>
      <c r="E1" s="4" t="s">
        <v>13</v>
      </c>
      <c r="F1" s="4" t="s">
        <v>14</v>
      </c>
      <c r="G1" s="4" t="s">
        <v>15</v>
      </c>
      <c r="H1" s="4" t="s">
        <v>16</v>
      </c>
      <c r="I1" s="4" t="s">
        <v>252</v>
      </c>
      <c r="J1" s="5" t="s">
        <v>17</v>
      </c>
      <c r="K1" s="5" t="s">
        <v>18</v>
      </c>
      <c r="L1" s="5" t="s">
        <v>19</v>
      </c>
      <c r="M1" s="5" t="s">
        <v>20</v>
      </c>
      <c r="N1" s="5" t="s">
        <v>278</v>
      </c>
      <c r="O1" s="7" t="s">
        <v>25</v>
      </c>
      <c r="P1" s="7" t="s">
        <v>26</v>
      </c>
      <c r="Q1" s="7" t="s">
        <v>27</v>
      </c>
      <c r="R1" s="7" t="s">
        <v>28</v>
      </c>
      <c r="S1" s="7" t="s">
        <v>255</v>
      </c>
      <c r="T1" s="6" t="s">
        <v>21</v>
      </c>
      <c r="U1" s="6" t="s">
        <v>22</v>
      </c>
      <c r="V1" s="6" t="s">
        <v>23</v>
      </c>
      <c r="W1" s="6" t="s">
        <v>24</v>
      </c>
      <c r="X1" s="6" t="s">
        <v>254</v>
      </c>
      <c r="Y1" s="6" t="s">
        <v>29</v>
      </c>
      <c r="Z1" s="6" t="s">
        <v>256</v>
      </c>
      <c r="AA1" s="6" t="s">
        <v>280</v>
      </c>
      <c r="AB1" s="7" t="s">
        <v>30</v>
      </c>
      <c r="AC1" s="7" t="s">
        <v>257</v>
      </c>
      <c r="AD1" s="7" t="s">
        <v>281</v>
      </c>
      <c r="AE1" s="33" t="s">
        <v>263</v>
      </c>
      <c r="AF1" s="33" t="s">
        <v>272</v>
      </c>
      <c r="AG1" s="33" t="s">
        <v>273</v>
      </c>
      <c r="AH1" s="41" t="s">
        <v>283</v>
      </c>
      <c r="AI1" s="41" t="s">
        <v>284</v>
      </c>
      <c r="AJ1" s="41" t="s">
        <v>285</v>
      </c>
      <c r="AK1" s="44" t="s">
        <v>288</v>
      </c>
      <c r="AL1" s="48" t="s">
        <v>289</v>
      </c>
      <c r="AM1" s="48" t="s">
        <v>290</v>
      </c>
      <c r="AN1" s="48" t="s">
        <v>293</v>
      </c>
      <c r="AO1" s="48" t="s">
        <v>291</v>
      </c>
      <c r="AP1" s="48" t="s">
        <v>292</v>
      </c>
      <c r="AQ1" s="50" t="s">
        <v>295</v>
      </c>
      <c r="AR1" s="55" t="s">
        <v>298</v>
      </c>
      <c r="AS1" s="55" t="s">
        <v>299</v>
      </c>
      <c r="AT1" s="55" t="s">
        <v>300</v>
      </c>
      <c r="AU1" s="55" t="s">
        <v>303</v>
      </c>
      <c r="AV1" s="55" t="s">
        <v>304</v>
      </c>
      <c r="AW1" s="55" t="s">
        <v>305</v>
      </c>
      <c r="AX1" s="55" t="s">
        <v>316</v>
      </c>
      <c r="AY1" s="55" t="s">
        <v>317</v>
      </c>
      <c r="AZ1" s="55" t="s">
        <v>318</v>
      </c>
      <c r="BA1" s="55" t="s">
        <v>308</v>
      </c>
      <c r="BB1" s="55" t="s">
        <v>309</v>
      </c>
      <c r="BC1" s="55" t="s">
        <v>310</v>
      </c>
      <c r="BD1" s="55" t="s">
        <v>311</v>
      </c>
      <c r="BE1" s="55" t="s">
        <v>312</v>
      </c>
      <c r="BF1" s="55" t="s">
        <v>313</v>
      </c>
      <c r="BG1" s="55" t="s">
        <v>307</v>
      </c>
      <c r="BH1" s="55" t="s">
        <v>314</v>
      </c>
      <c r="BI1" s="55" t="s">
        <v>315</v>
      </c>
      <c r="BJ1" s="58" t="s">
        <v>321</v>
      </c>
      <c r="BK1" s="58" t="s">
        <v>322</v>
      </c>
      <c r="BL1" s="58" t="s">
        <v>323</v>
      </c>
      <c r="BM1" s="58" t="s">
        <v>324</v>
      </c>
      <c r="BN1" s="58" t="s">
        <v>326</v>
      </c>
      <c r="BO1" s="58" t="s">
        <v>327</v>
      </c>
      <c r="BP1" s="58" t="s">
        <v>328</v>
      </c>
      <c r="BQ1" s="77" t="s">
        <v>356</v>
      </c>
      <c r="BR1" s="77" t="s">
        <v>357</v>
      </c>
      <c r="BS1" s="77" t="s">
        <v>344</v>
      </c>
      <c r="BT1" s="77" t="s">
        <v>345</v>
      </c>
      <c r="BU1" s="77" t="s">
        <v>346</v>
      </c>
      <c r="BV1" s="78" t="s">
        <v>367</v>
      </c>
      <c r="BW1" s="78" t="s">
        <v>368</v>
      </c>
      <c r="BX1" s="78" t="s">
        <v>369</v>
      </c>
      <c r="BY1" s="78" t="s">
        <v>370</v>
      </c>
      <c r="BZ1" s="78" t="s">
        <v>371</v>
      </c>
      <c r="CA1" s="79" t="s">
        <v>358</v>
      </c>
      <c r="CB1" s="79" t="s">
        <v>359</v>
      </c>
      <c r="CC1" s="79" t="s">
        <v>347</v>
      </c>
      <c r="CD1" s="79" t="s">
        <v>348</v>
      </c>
      <c r="CE1" s="79" t="s">
        <v>349</v>
      </c>
      <c r="CF1" s="80" t="s">
        <v>362</v>
      </c>
      <c r="CG1" s="80" t="s">
        <v>363</v>
      </c>
      <c r="CH1" s="80" t="s">
        <v>364</v>
      </c>
      <c r="CI1" s="80" t="s">
        <v>365</v>
      </c>
      <c r="CJ1" s="80" t="s">
        <v>366</v>
      </c>
      <c r="CK1" s="4" t="s">
        <v>372</v>
      </c>
      <c r="CL1" s="4" t="s">
        <v>373</v>
      </c>
      <c r="CM1" s="4" t="s">
        <v>662</v>
      </c>
      <c r="CN1" s="5" t="s">
        <v>374</v>
      </c>
      <c r="CO1" s="5" t="s">
        <v>375</v>
      </c>
      <c r="CP1" s="5" t="s">
        <v>663</v>
      </c>
      <c r="CQ1" s="7" t="s">
        <v>487</v>
      </c>
      <c r="CR1" s="7" t="s">
        <v>488</v>
      </c>
      <c r="CS1" s="7" t="s">
        <v>489</v>
      </c>
      <c r="CT1" s="4" t="s">
        <v>490</v>
      </c>
      <c r="CU1" s="4" t="s">
        <v>491</v>
      </c>
      <c r="CV1" s="4" t="s">
        <v>492</v>
      </c>
      <c r="CW1" s="4" t="s">
        <v>493</v>
      </c>
      <c r="CX1" s="4" t="s">
        <v>494</v>
      </c>
      <c r="CY1" s="4" t="s">
        <v>495</v>
      </c>
      <c r="CZ1" s="4" t="s">
        <v>496</v>
      </c>
      <c r="DA1" s="4" t="s">
        <v>497</v>
      </c>
      <c r="DB1" s="4" t="s">
        <v>498</v>
      </c>
      <c r="DC1" s="4" t="s">
        <v>499</v>
      </c>
      <c r="DD1" s="4" t="s">
        <v>500</v>
      </c>
      <c r="DE1" s="4" t="s">
        <v>501</v>
      </c>
      <c r="DF1" s="4" t="s">
        <v>502</v>
      </c>
      <c r="DG1" s="4" t="s">
        <v>503</v>
      </c>
      <c r="DH1" s="4" t="s">
        <v>504</v>
      </c>
      <c r="DI1" s="5" t="s">
        <v>505</v>
      </c>
      <c r="DJ1" s="5" t="s">
        <v>506</v>
      </c>
      <c r="DK1" s="5" t="s">
        <v>507</v>
      </c>
      <c r="DL1" s="5" t="s">
        <v>508</v>
      </c>
      <c r="DM1" s="5" t="s">
        <v>509</v>
      </c>
      <c r="DN1" s="6" t="s">
        <v>510</v>
      </c>
      <c r="DO1" s="6" t="s">
        <v>511</v>
      </c>
      <c r="DP1" s="6" t="s">
        <v>512</v>
      </c>
      <c r="DQ1" s="6" t="s">
        <v>513</v>
      </c>
      <c r="DR1" s="6" t="s">
        <v>514</v>
      </c>
      <c r="DS1" s="6" t="s">
        <v>515</v>
      </c>
      <c r="DT1" s="6" t="s">
        <v>516</v>
      </c>
      <c r="DU1" s="6" t="s">
        <v>517</v>
      </c>
      <c r="DV1" s="6" t="s">
        <v>518</v>
      </c>
      <c r="DW1" s="6" t="s">
        <v>519</v>
      </c>
      <c r="DX1" s="6" t="s">
        <v>520</v>
      </c>
      <c r="DY1" s="6" t="s">
        <v>521</v>
      </c>
      <c r="DZ1" s="6" t="s">
        <v>522</v>
      </c>
      <c r="EA1" s="6" t="s">
        <v>523</v>
      </c>
      <c r="EB1" s="6" t="s">
        <v>524</v>
      </c>
      <c r="EC1" s="6" t="s">
        <v>525</v>
      </c>
      <c r="ED1" s="6" t="s">
        <v>526</v>
      </c>
      <c r="EE1" s="6" t="s">
        <v>527</v>
      </c>
      <c r="EF1" s="6" t="s">
        <v>528</v>
      </c>
      <c r="EG1" s="6" t="s">
        <v>529</v>
      </c>
      <c r="EH1" s="6" t="s">
        <v>530</v>
      </c>
      <c r="EI1" s="6" t="s">
        <v>531</v>
      </c>
      <c r="EJ1" s="6" t="s">
        <v>532</v>
      </c>
      <c r="EK1" s="6" t="s">
        <v>533</v>
      </c>
      <c r="EL1" s="6" t="s">
        <v>534</v>
      </c>
      <c r="EM1" s="6" t="s">
        <v>535</v>
      </c>
      <c r="EN1" s="6" t="s">
        <v>536</v>
      </c>
      <c r="EO1" s="6" t="s">
        <v>537</v>
      </c>
      <c r="EP1" s="6" t="s">
        <v>538</v>
      </c>
      <c r="EQ1" s="6" t="s">
        <v>539</v>
      </c>
      <c r="ER1" s="6" t="s">
        <v>540</v>
      </c>
      <c r="ES1" s="7" t="s">
        <v>378</v>
      </c>
      <c r="ET1" s="7" t="s">
        <v>379</v>
      </c>
      <c r="EU1" s="7" t="s">
        <v>380</v>
      </c>
      <c r="EV1" s="4" t="s">
        <v>381</v>
      </c>
      <c r="EW1" s="4" t="s">
        <v>382</v>
      </c>
      <c r="EX1" s="4" t="s">
        <v>383</v>
      </c>
      <c r="EY1" s="4" t="s">
        <v>384</v>
      </c>
      <c r="EZ1" s="4" t="s">
        <v>385</v>
      </c>
      <c r="FA1" s="4" t="s">
        <v>386</v>
      </c>
      <c r="FB1" s="4" t="s">
        <v>387</v>
      </c>
      <c r="FC1" s="4" t="s">
        <v>388</v>
      </c>
      <c r="FD1" s="4" t="s">
        <v>389</v>
      </c>
      <c r="FE1" s="4" t="s">
        <v>390</v>
      </c>
      <c r="FF1" s="4" t="s">
        <v>391</v>
      </c>
      <c r="FG1" s="4" t="s">
        <v>392</v>
      </c>
      <c r="FH1" s="4" t="s">
        <v>393</v>
      </c>
      <c r="FI1" s="4" t="s">
        <v>394</v>
      </c>
      <c r="FJ1" s="4" t="s">
        <v>395</v>
      </c>
      <c r="FK1" s="5" t="s">
        <v>396</v>
      </c>
      <c r="FL1" s="5" t="s">
        <v>397</v>
      </c>
      <c r="FM1" s="5" t="s">
        <v>398</v>
      </c>
      <c r="FN1" s="5" t="s">
        <v>399</v>
      </c>
      <c r="FO1" s="5" t="s">
        <v>400</v>
      </c>
      <c r="FP1" s="6" t="s">
        <v>401</v>
      </c>
      <c r="FQ1" s="6" t="s">
        <v>402</v>
      </c>
      <c r="FR1" s="6" t="s">
        <v>403</v>
      </c>
      <c r="FS1" s="6" t="s">
        <v>404</v>
      </c>
      <c r="FT1" s="6" t="s">
        <v>405</v>
      </c>
      <c r="FU1" s="6" t="s">
        <v>406</v>
      </c>
      <c r="FV1" s="6" t="s">
        <v>407</v>
      </c>
      <c r="FW1" s="6" t="s">
        <v>408</v>
      </c>
      <c r="FX1" s="6" t="s">
        <v>409</v>
      </c>
      <c r="FY1" s="6" t="s">
        <v>410</v>
      </c>
      <c r="FZ1" s="6" t="s">
        <v>411</v>
      </c>
      <c r="GA1" s="6" t="s">
        <v>412</v>
      </c>
      <c r="GB1" s="6" t="s">
        <v>413</v>
      </c>
      <c r="GC1" s="6" t="s">
        <v>414</v>
      </c>
      <c r="GD1" s="6" t="s">
        <v>415</v>
      </c>
      <c r="GE1" s="6" t="s">
        <v>416</v>
      </c>
      <c r="GF1" s="6" t="s">
        <v>417</v>
      </c>
      <c r="GG1" s="6" t="s">
        <v>418</v>
      </c>
      <c r="GH1" s="6" t="s">
        <v>419</v>
      </c>
      <c r="GI1" s="6" t="s">
        <v>420</v>
      </c>
      <c r="GJ1" s="6" t="s">
        <v>421</v>
      </c>
      <c r="GK1" s="6" t="s">
        <v>422</v>
      </c>
      <c r="GL1" s="6" t="s">
        <v>423</v>
      </c>
      <c r="GM1" s="6" t="s">
        <v>424</v>
      </c>
      <c r="GN1" s="6" t="s">
        <v>425</v>
      </c>
      <c r="GO1" s="6" t="s">
        <v>426</v>
      </c>
      <c r="GP1" s="6" t="s">
        <v>427</v>
      </c>
      <c r="GQ1" s="6" t="s">
        <v>428</v>
      </c>
      <c r="GR1" s="6" t="s">
        <v>429</v>
      </c>
      <c r="GS1" s="6" t="s">
        <v>430</v>
      </c>
      <c r="GT1" s="6" t="s">
        <v>431</v>
      </c>
      <c r="GU1" s="7" t="s">
        <v>432</v>
      </c>
      <c r="GV1" s="7" t="s">
        <v>433</v>
      </c>
      <c r="GW1" s="7" t="s">
        <v>434</v>
      </c>
      <c r="GX1" s="7" t="s">
        <v>435</v>
      </c>
      <c r="GY1" s="4" t="s">
        <v>436</v>
      </c>
      <c r="GZ1" s="4" t="s">
        <v>437</v>
      </c>
      <c r="HA1" s="4" t="s">
        <v>438</v>
      </c>
      <c r="HB1" s="4" t="s">
        <v>439</v>
      </c>
      <c r="HC1" s="4" t="s">
        <v>440</v>
      </c>
      <c r="HD1" s="4" t="s">
        <v>441</v>
      </c>
      <c r="HE1" s="4" t="s">
        <v>442</v>
      </c>
      <c r="HF1" s="4" t="s">
        <v>443</v>
      </c>
      <c r="HG1" s="4" t="s">
        <v>444</v>
      </c>
      <c r="HH1" s="4" t="s">
        <v>445</v>
      </c>
      <c r="HI1" s="4" t="s">
        <v>446</v>
      </c>
      <c r="HJ1" s="4" t="s">
        <v>447</v>
      </c>
      <c r="HK1" s="4" t="s">
        <v>448</v>
      </c>
      <c r="HL1" s="4" t="s">
        <v>449</v>
      </c>
      <c r="HM1" s="4" t="s">
        <v>450</v>
      </c>
      <c r="HN1" s="5" t="s">
        <v>451</v>
      </c>
      <c r="HO1" s="5" t="s">
        <v>452</v>
      </c>
      <c r="HP1" s="5" t="s">
        <v>453</v>
      </c>
      <c r="HQ1" s="5" t="s">
        <v>454</v>
      </c>
      <c r="HR1" s="5" t="s">
        <v>455</v>
      </c>
      <c r="HS1" s="6" t="s">
        <v>456</v>
      </c>
      <c r="HT1" s="6" t="s">
        <v>457</v>
      </c>
      <c r="HU1" s="6" t="s">
        <v>458</v>
      </c>
      <c r="HV1" s="6" t="s">
        <v>459</v>
      </c>
      <c r="HW1" s="6" t="s">
        <v>460</v>
      </c>
      <c r="HX1" s="6" t="s">
        <v>461</v>
      </c>
      <c r="HY1" s="6" t="s">
        <v>462</v>
      </c>
      <c r="HZ1" s="6" t="s">
        <v>463</v>
      </c>
      <c r="IA1" s="6" t="s">
        <v>464</v>
      </c>
      <c r="IB1" s="6" t="s">
        <v>465</v>
      </c>
      <c r="IC1" s="6" t="s">
        <v>466</v>
      </c>
      <c r="ID1" s="6" t="s">
        <v>467</v>
      </c>
      <c r="IE1" s="6" t="s">
        <v>468</v>
      </c>
      <c r="IF1" s="6" t="s">
        <v>469</v>
      </c>
      <c r="IG1" s="6" t="s">
        <v>470</v>
      </c>
      <c r="IH1" s="6" t="s">
        <v>471</v>
      </c>
      <c r="II1" s="6" t="s">
        <v>472</v>
      </c>
      <c r="IJ1" s="6" t="s">
        <v>473</v>
      </c>
      <c r="IK1" s="6" t="s">
        <v>474</v>
      </c>
      <c r="IL1" s="6" t="s">
        <v>475</v>
      </c>
      <c r="IM1" s="6" t="s">
        <v>476</v>
      </c>
      <c r="IN1" s="6" t="s">
        <v>477</v>
      </c>
      <c r="IO1" s="6" t="s">
        <v>478</v>
      </c>
      <c r="IP1" s="6" t="s">
        <v>479</v>
      </c>
      <c r="IQ1" s="6" t="s">
        <v>480</v>
      </c>
      <c r="IR1" s="6" t="s">
        <v>481</v>
      </c>
      <c r="IS1" s="6" t="s">
        <v>482</v>
      </c>
      <c r="IT1" s="6" t="s">
        <v>483</v>
      </c>
      <c r="IU1" s="6" t="s">
        <v>484</v>
      </c>
      <c r="IV1" s="6" t="s">
        <v>485</v>
      </c>
      <c r="IW1" s="6" t="s">
        <v>486</v>
      </c>
      <c r="IX1" s="5" t="s">
        <v>594</v>
      </c>
      <c r="IY1" s="5" t="s">
        <v>595</v>
      </c>
      <c r="IZ1" s="5" t="s">
        <v>596</v>
      </c>
      <c r="JA1" s="84" t="s">
        <v>605</v>
      </c>
      <c r="JB1" s="84" t="s">
        <v>600</v>
      </c>
      <c r="JC1" s="84" t="s">
        <v>601</v>
      </c>
      <c r="JD1" s="6" t="s">
        <v>612</v>
      </c>
      <c r="JE1" s="6" t="s">
        <v>613</v>
      </c>
      <c r="JF1" s="6" t="s">
        <v>610</v>
      </c>
      <c r="JG1" s="6" t="s">
        <v>611</v>
      </c>
      <c r="JH1" s="6" t="s">
        <v>614</v>
      </c>
      <c r="JI1" s="6" t="s">
        <v>615</v>
      </c>
      <c r="JJ1" s="7" t="s">
        <v>618</v>
      </c>
      <c r="JK1" s="7" t="s">
        <v>617</v>
      </c>
      <c r="JL1" s="7" t="s">
        <v>616</v>
      </c>
      <c r="JM1" s="88" t="s">
        <v>625</v>
      </c>
      <c r="JN1" s="88" t="s">
        <v>626</v>
      </c>
      <c r="JO1" s="88" t="s">
        <v>624</v>
      </c>
      <c r="JP1" s="88" t="s">
        <v>627</v>
      </c>
      <c r="JQ1" s="88" t="s">
        <v>628</v>
      </c>
      <c r="JR1" s="88" t="s">
        <v>629</v>
      </c>
      <c r="JS1" s="88" t="s">
        <v>621</v>
      </c>
      <c r="JT1" s="88" t="s">
        <v>622</v>
      </c>
      <c r="JU1" s="88" t="s">
        <v>623</v>
      </c>
      <c r="JV1" s="88" t="s">
        <v>630</v>
      </c>
      <c r="JW1" s="88" t="s">
        <v>631</v>
      </c>
      <c r="JX1" s="88" t="s">
        <v>632</v>
      </c>
      <c r="JY1" s="6" t="s">
        <v>636</v>
      </c>
      <c r="JZ1" s="6" t="s">
        <v>545</v>
      </c>
      <c r="KA1" s="6" t="s">
        <v>565</v>
      </c>
      <c r="KB1" s="6" t="s">
        <v>637</v>
      </c>
      <c r="KC1" s="6" t="s">
        <v>567</v>
      </c>
      <c r="KD1" s="6" t="s">
        <v>638</v>
      </c>
      <c r="KE1" s="6" t="s">
        <v>546</v>
      </c>
      <c r="KF1" s="88" t="s">
        <v>639</v>
      </c>
      <c r="KG1" s="6" t="s">
        <v>640</v>
      </c>
      <c r="KH1" s="6" t="s">
        <v>570</v>
      </c>
      <c r="KI1" s="6" t="s">
        <v>641</v>
      </c>
      <c r="KJ1" s="6" t="s">
        <v>642</v>
      </c>
      <c r="KK1" s="6" t="s">
        <v>562</v>
      </c>
      <c r="KL1" s="6" t="s">
        <v>643</v>
      </c>
      <c r="KM1" s="6" t="s">
        <v>573</v>
      </c>
      <c r="KN1" s="6" t="s">
        <v>574</v>
      </c>
      <c r="KO1" s="6" t="s">
        <v>575</v>
      </c>
      <c r="KP1" s="6" t="s">
        <v>644</v>
      </c>
      <c r="KQ1" s="6" t="s">
        <v>576</v>
      </c>
      <c r="KR1" s="6" t="s">
        <v>645</v>
      </c>
      <c r="KS1" s="6" t="s">
        <v>577</v>
      </c>
      <c r="KT1" s="6" t="s">
        <v>646</v>
      </c>
      <c r="KU1" s="6" t="s">
        <v>647</v>
      </c>
      <c r="KV1" s="6" t="s">
        <v>584</v>
      </c>
      <c r="KW1" s="6" t="s">
        <v>550</v>
      </c>
      <c r="KX1" s="6" t="s">
        <v>585</v>
      </c>
      <c r="KY1" s="6" t="s">
        <v>586</v>
      </c>
      <c r="KZ1" s="6" t="s">
        <v>548</v>
      </c>
      <c r="LA1" s="6" t="s">
        <v>648</v>
      </c>
      <c r="LB1" s="6" t="s">
        <v>649</v>
      </c>
      <c r="LC1" s="6" t="s">
        <v>650</v>
      </c>
      <c r="LD1" s="6" t="s">
        <v>588</v>
      </c>
      <c r="LE1" s="6" t="s">
        <v>589</v>
      </c>
      <c r="LF1" s="6" t="s">
        <v>651</v>
      </c>
      <c r="LG1" s="6" t="s">
        <v>652</v>
      </c>
      <c r="LH1" s="6" t="s">
        <v>653</v>
      </c>
      <c r="LI1" s="6" t="s">
        <v>654</v>
      </c>
      <c r="LJ1" s="6" t="s">
        <v>655</v>
      </c>
      <c r="LK1" s="6" t="s">
        <v>656</v>
      </c>
      <c r="LL1" s="7" t="s">
        <v>636</v>
      </c>
      <c r="LM1" s="7" t="s">
        <v>545</v>
      </c>
      <c r="LN1" s="7" t="s">
        <v>565</v>
      </c>
      <c r="LO1" s="7" t="s">
        <v>637</v>
      </c>
      <c r="LP1" s="7" t="s">
        <v>567</v>
      </c>
      <c r="LQ1" s="7" t="s">
        <v>638</v>
      </c>
      <c r="LR1" s="7" t="s">
        <v>546</v>
      </c>
      <c r="LS1" s="88" t="s">
        <v>639</v>
      </c>
      <c r="LT1" s="7" t="s">
        <v>640</v>
      </c>
      <c r="LU1" s="7" t="s">
        <v>570</v>
      </c>
      <c r="LV1" s="7" t="s">
        <v>641</v>
      </c>
      <c r="LW1" s="7" t="s">
        <v>642</v>
      </c>
      <c r="LX1" s="7" t="s">
        <v>562</v>
      </c>
      <c r="LY1" s="7" t="s">
        <v>643</v>
      </c>
      <c r="LZ1" s="7" t="s">
        <v>573</v>
      </c>
      <c r="MA1" s="7" t="s">
        <v>574</v>
      </c>
      <c r="MB1" s="7" t="s">
        <v>575</v>
      </c>
      <c r="MC1" s="7" t="s">
        <v>644</v>
      </c>
      <c r="MD1" s="7" t="s">
        <v>576</v>
      </c>
      <c r="ME1" s="7" t="s">
        <v>645</v>
      </c>
      <c r="MF1" s="7" t="s">
        <v>577</v>
      </c>
      <c r="MG1" s="7" t="s">
        <v>646</v>
      </c>
      <c r="MH1" s="7" t="s">
        <v>647</v>
      </c>
      <c r="MI1" s="7" t="s">
        <v>584</v>
      </c>
      <c r="MJ1" s="7" t="s">
        <v>550</v>
      </c>
      <c r="MK1" s="7" t="s">
        <v>585</v>
      </c>
      <c r="ML1" s="7" t="s">
        <v>586</v>
      </c>
      <c r="MM1" s="7" t="s">
        <v>657</v>
      </c>
      <c r="MN1" s="7" t="s">
        <v>648</v>
      </c>
      <c r="MO1" s="7" t="s">
        <v>649</v>
      </c>
      <c r="MP1" s="7" t="s">
        <v>650</v>
      </c>
      <c r="MQ1" s="7" t="s">
        <v>588</v>
      </c>
      <c r="MR1" s="7" t="s">
        <v>589</v>
      </c>
      <c r="MS1" s="7" t="s">
        <v>651</v>
      </c>
      <c r="MT1" s="7" t="s">
        <v>652</v>
      </c>
      <c r="MU1" s="7" t="s">
        <v>653</v>
      </c>
      <c r="MV1" s="7" t="s">
        <v>654</v>
      </c>
      <c r="MW1" s="7" t="s">
        <v>655</v>
      </c>
      <c r="MX1" s="7" t="s">
        <v>656</v>
      </c>
      <c r="MY1" s="4" t="s">
        <v>694</v>
      </c>
      <c r="MZ1" s="4" t="s">
        <v>699</v>
      </c>
      <c r="NA1" s="4" t="s">
        <v>697</v>
      </c>
      <c r="NB1" s="4" t="s">
        <v>696</v>
      </c>
      <c r="NC1" s="4" t="s">
        <v>695</v>
      </c>
      <c r="ND1" s="4" t="s">
        <v>700</v>
      </c>
      <c r="NE1" s="4" t="s">
        <v>698</v>
      </c>
      <c r="NF1" s="4" t="s">
        <v>701</v>
      </c>
      <c r="NG1" s="4" t="s">
        <v>702</v>
      </c>
      <c r="NH1" s="4" t="s">
        <v>292</v>
      </c>
      <c r="NI1" s="88" t="s">
        <v>706</v>
      </c>
      <c r="NJ1" s="88" t="s">
        <v>712</v>
      </c>
      <c r="NK1" s="88" t="s">
        <v>700</v>
      </c>
      <c r="NL1" s="88" t="s">
        <v>711</v>
      </c>
      <c r="NM1" s="88" t="s">
        <v>707</v>
      </c>
      <c r="NN1" s="88" t="s">
        <v>705</v>
      </c>
      <c r="NO1" s="88" t="s">
        <v>708</v>
      </c>
      <c r="NP1" s="88" t="s">
        <v>710</v>
      </c>
      <c r="NQ1" s="88" t="s">
        <v>709</v>
      </c>
      <c r="NR1" s="6" t="s">
        <v>723</v>
      </c>
      <c r="NS1" s="7" t="s">
        <v>722</v>
      </c>
    </row>
    <row r="2" spans="1:383" x14ac:dyDescent="0.25">
      <c r="A2" s="8" t="s">
        <v>31</v>
      </c>
      <c r="B2" s="9" t="s">
        <v>32</v>
      </c>
      <c r="C2" s="9">
        <v>84</v>
      </c>
      <c r="D2" s="9" t="s">
        <v>33</v>
      </c>
      <c r="E2" s="10">
        <v>94</v>
      </c>
      <c r="F2" s="10">
        <v>91</v>
      </c>
      <c r="G2" s="10">
        <v>94</v>
      </c>
      <c r="H2" s="10">
        <v>78</v>
      </c>
      <c r="I2" s="10">
        <v>38</v>
      </c>
      <c r="J2" s="11">
        <v>577</v>
      </c>
      <c r="K2" s="11">
        <v>546</v>
      </c>
      <c r="L2" s="11">
        <v>522</v>
      </c>
      <c r="M2" s="11">
        <v>454</v>
      </c>
      <c r="N2" s="11">
        <v>155</v>
      </c>
      <c r="O2" s="13">
        <v>4217</v>
      </c>
      <c r="P2" s="13">
        <v>4114</v>
      </c>
      <c r="Q2" s="13">
        <v>4018</v>
      </c>
      <c r="R2" s="13">
        <v>3395</v>
      </c>
      <c r="S2" s="13">
        <v>1283</v>
      </c>
      <c r="T2" s="12">
        <v>1888</v>
      </c>
      <c r="U2" s="12">
        <v>1879</v>
      </c>
      <c r="V2" s="12">
        <v>1789</v>
      </c>
      <c r="W2" s="12">
        <v>1762</v>
      </c>
      <c r="X2" s="12">
        <v>338</v>
      </c>
      <c r="Y2" s="12">
        <v>7</v>
      </c>
      <c r="Z2" s="12">
        <v>7</v>
      </c>
      <c r="AA2" s="12">
        <v>7</v>
      </c>
      <c r="AB2" s="13">
        <v>7</v>
      </c>
      <c r="AC2" s="13">
        <v>7</v>
      </c>
      <c r="AD2" s="13">
        <v>7</v>
      </c>
      <c r="AE2" s="35" t="s">
        <v>258</v>
      </c>
      <c r="AF2" s="35" t="s">
        <v>258</v>
      </c>
      <c r="AG2" s="35" t="s">
        <v>258</v>
      </c>
      <c r="AH2" s="38">
        <v>0.5</v>
      </c>
      <c r="AI2" s="38">
        <v>0.5</v>
      </c>
      <c r="AJ2" s="38">
        <v>0.5</v>
      </c>
      <c r="AK2" s="45" t="s">
        <v>34</v>
      </c>
      <c r="AL2" s="45" t="s">
        <v>34</v>
      </c>
      <c r="AM2" s="45" t="s">
        <v>34</v>
      </c>
      <c r="AN2" s="45" t="s">
        <v>34</v>
      </c>
      <c r="AO2" s="45" t="s">
        <v>34</v>
      </c>
      <c r="AP2" s="45" t="s">
        <v>292</v>
      </c>
      <c r="AQ2" s="53" t="s">
        <v>296</v>
      </c>
      <c r="AR2" s="56">
        <v>205</v>
      </c>
      <c r="AS2" s="57">
        <v>80</v>
      </c>
      <c r="AT2" s="56">
        <v>11</v>
      </c>
      <c r="AU2" s="57">
        <v>20007</v>
      </c>
      <c r="AV2" s="57">
        <v>9523</v>
      </c>
      <c r="AW2" s="57">
        <v>701</v>
      </c>
      <c r="AX2" s="57">
        <v>12</v>
      </c>
      <c r="AY2" s="57">
        <v>4</v>
      </c>
      <c r="AZ2" s="57">
        <v>0</v>
      </c>
      <c r="BA2" s="57">
        <v>4938</v>
      </c>
      <c r="BB2" s="57">
        <v>5447</v>
      </c>
      <c r="BC2" s="57">
        <v>4346</v>
      </c>
      <c r="BD2" s="57">
        <v>1546</v>
      </c>
      <c r="BE2" s="57">
        <v>2290</v>
      </c>
      <c r="BF2" s="57">
        <v>1379</v>
      </c>
      <c r="BG2" s="57">
        <v>97</v>
      </c>
      <c r="BH2" s="57">
        <v>88</v>
      </c>
      <c r="BI2" s="57">
        <v>200</v>
      </c>
      <c r="BJ2" s="57" t="s">
        <v>297</v>
      </c>
      <c r="BK2" s="57">
        <v>26</v>
      </c>
      <c r="BL2" s="57">
        <v>0</v>
      </c>
      <c r="BM2" s="57">
        <v>0</v>
      </c>
      <c r="BN2" s="57">
        <v>704</v>
      </c>
      <c r="BO2" s="57">
        <v>356</v>
      </c>
      <c r="BP2" s="57">
        <v>50</v>
      </c>
      <c r="BQ2" s="76">
        <v>465</v>
      </c>
      <c r="BR2" s="76">
        <v>465</v>
      </c>
      <c r="BS2">
        <v>460</v>
      </c>
      <c r="BT2">
        <v>460</v>
      </c>
      <c r="BU2">
        <v>458</v>
      </c>
      <c r="BV2">
        <v>62885</v>
      </c>
      <c r="BW2">
        <v>63080</v>
      </c>
      <c r="BX2">
        <v>62980</v>
      </c>
      <c r="BY2">
        <v>62898</v>
      </c>
      <c r="BZ2">
        <v>62493</v>
      </c>
      <c r="CA2">
        <v>101</v>
      </c>
      <c r="CB2">
        <v>105</v>
      </c>
      <c r="CC2">
        <v>103</v>
      </c>
      <c r="CD2">
        <v>86</v>
      </c>
      <c r="CE2">
        <v>43</v>
      </c>
      <c r="CF2">
        <v>6105</v>
      </c>
      <c r="CG2">
        <v>5993</v>
      </c>
      <c r="CH2">
        <v>5807</v>
      </c>
      <c r="CI2">
        <v>5157</v>
      </c>
      <c r="CJ2">
        <v>1621</v>
      </c>
      <c r="CK2" s="10">
        <v>52</v>
      </c>
      <c r="CL2" s="10">
        <v>52</v>
      </c>
      <c r="CM2" s="10">
        <v>52</v>
      </c>
      <c r="CN2" s="81">
        <v>19.100000000000001</v>
      </c>
      <c r="CO2" s="81">
        <v>19.100000000000001</v>
      </c>
      <c r="CP2" s="81">
        <v>19.100000000000001</v>
      </c>
      <c r="CQ2" s="13">
        <v>26</v>
      </c>
      <c r="CR2" s="13">
        <v>13</v>
      </c>
      <c r="CS2" s="13">
        <v>0</v>
      </c>
      <c r="CT2" s="10">
        <v>0</v>
      </c>
      <c r="CU2" s="10">
        <v>0</v>
      </c>
      <c r="CV2" s="10">
        <v>23</v>
      </c>
      <c r="CW2" s="10">
        <v>19</v>
      </c>
      <c r="CX2" s="10">
        <v>3</v>
      </c>
      <c r="CY2" s="10">
        <v>0</v>
      </c>
      <c r="CZ2" s="10">
        <v>2</v>
      </c>
      <c r="DA2" s="10">
        <v>4</v>
      </c>
      <c r="DB2" s="10">
        <v>1</v>
      </c>
      <c r="DC2" s="10">
        <v>1</v>
      </c>
      <c r="DD2" s="10">
        <v>0</v>
      </c>
      <c r="DE2" s="10">
        <v>0</v>
      </c>
      <c r="DF2" s="10">
        <v>7</v>
      </c>
      <c r="DG2" s="10">
        <v>0</v>
      </c>
      <c r="DH2" s="10">
        <v>0</v>
      </c>
      <c r="DI2" s="81">
        <v>5</v>
      </c>
      <c r="DJ2" s="81">
        <v>2</v>
      </c>
      <c r="DK2" s="81">
        <v>24</v>
      </c>
      <c r="DL2" s="81">
        <v>1</v>
      </c>
      <c r="DM2" s="81">
        <v>10</v>
      </c>
      <c r="DN2" s="12">
        <v>3</v>
      </c>
      <c r="DO2" s="12">
        <v>0</v>
      </c>
      <c r="DP2" s="12">
        <v>2</v>
      </c>
      <c r="DQ2" s="12">
        <v>8</v>
      </c>
      <c r="DR2" s="12">
        <v>0</v>
      </c>
      <c r="DS2" s="12">
        <v>0</v>
      </c>
      <c r="DT2" s="12">
        <v>0</v>
      </c>
      <c r="DU2" s="12">
        <v>0</v>
      </c>
      <c r="DV2" s="12">
        <v>14</v>
      </c>
      <c r="DW2" s="12">
        <v>3</v>
      </c>
      <c r="DX2" s="12">
        <v>0</v>
      </c>
      <c r="DY2" s="12">
        <v>1</v>
      </c>
      <c r="DZ2" s="12">
        <v>2</v>
      </c>
      <c r="EA2" s="12">
        <v>0</v>
      </c>
      <c r="EB2" s="12">
        <v>16</v>
      </c>
      <c r="EC2" s="12">
        <v>0</v>
      </c>
      <c r="ED2" s="12">
        <v>7</v>
      </c>
      <c r="EE2" s="12">
        <v>12</v>
      </c>
      <c r="EF2" s="12">
        <v>5</v>
      </c>
      <c r="EG2" s="12">
        <v>0</v>
      </c>
      <c r="EH2" s="12">
        <v>0</v>
      </c>
      <c r="EI2" s="12">
        <v>0</v>
      </c>
      <c r="EJ2" s="12">
        <v>1</v>
      </c>
      <c r="EK2" s="12">
        <v>0</v>
      </c>
      <c r="EL2" s="12">
        <v>3</v>
      </c>
      <c r="EM2" s="12">
        <v>9</v>
      </c>
      <c r="EN2" s="12">
        <v>2</v>
      </c>
      <c r="EO2" s="12">
        <v>0</v>
      </c>
      <c r="EP2" s="12">
        <v>0</v>
      </c>
      <c r="EQ2" s="12">
        <v>2</v>
      </c>
      <c r="ER2" s="12">
        <v>0</v>
      </c>
      <c r="ES2" s="13">
        <v>14</v>
      </c>
      <c r="ET2" s="13">
        <v>6</v>
      </c>
      <c r="EU2" s="13">
        <v>0</v>
      </c>
      <c r="EV2" s="10">
        <v>0</v>
      </c>
      <c r="EW2" s="10">
        <v>0</v>
      </c>
      <c r="EX2" s="10">
        <v>3</v>
      </c>
      <c r="EY2" s="10">
        <v>1</v>
      </c>
      <c r="EZ2" s="10">
        <v>0</v>
      </c>
      <c r="FA2" s="10">
        <v>0</v>
      </c>
      <c r="FB2" s="10">
        <v>1</v>
      </c>
      <c r="FC2" s="10">
        <v>2</v>
      </c>
      <c r="FD2" s="10">
        <v>0</v>
      </c>
      <c r="FE2" s="10">
        <v>0</v>
      </c>
      <c r="FF2" s="10">
        <v>0</v>
      </c>
      <c r="FG2" s="10">
        <v>0</v>
      </c>
      <c r="FH2" s="10">
        <v>0</v>
      </c>
      <c r="FI2" s="10">
        <v>0</v>
      </c>
      <c r="FJ2" s="10">
        <v>0</v>
      </c>
      <c r="FK2" s="81">
        <v>9</v>
      </c>
      <c r="FL2" s="81">
        <v>4</v>
      </c>
      <c r="FM2" s="81">
        <v>9</v>
      </c>
      <c r="FN2" s="81">
        <v>2</v>
      </c>
      <c r="FO2" s="81">
        <v>4</v>
      </c>
      <c r="FP2" s="12">
        <v>7</v>
      </c>
      <c r="FQ2" s="12">
        <v>1</v>
      </c>
      <c r="FR2" s="12">
        <v>2</v>
      </c>
      <c r="FS2" s="12">
        <v>2</v>
      </c>
      <c r="FT2" s="12">
        <v>0</v>
      </c>
      <c r="FU2" s="12">
        <v>0</v>
      </c>
      <c r="FV2" s="12">
        <v>0</v>
      </c>
      <c r="FW2" s="12">
        <v>0</v>
      </c>
      <c r="FX2" s="12">
        <v>6</v>
      </c>
      <c r="FY2" s="12">
        <v>0</v>
      </c>
      <c r="FZ2" s="12">
        <v>0</v>
      </c>
      <c r="GA2" s="12">
        <v>0</v>
      </c>
      <c r="GB2" s="12">
        <v>0</v>
      </c>
      <c r="GC2" s="12">
        <v>0</v>
      </c>
      <c r="GD2" s="12">
        <v>4</v>
      </c>
      <c r="GE2" s="12">
        <v>0</v>
      </c>
      <c r="GF2" s="12">
        <v>5</v>
      </c>
      <c r="GG2" s="12">
        <v>5</v>
      </c>
      <c r="GH2" s="12">
        <v>1</v>
      </c>
      <c r="GI2" s="12">
        <v>0</v>
      </c>
      <c r="GJ2" s="12">
        <v>0</v>
      </c>
      <c r="GK2" s="12">
        <v>0</v>
      </c>
      <c r="GL2" s="12">
        <v>0</v>
      </c>
      <c r="GM2" s="12">
        <v>0</v>
      </c>
      <c r="GN2" s="12">
        <v>0</v>
      </c>
      <c r="GO2" s="12">
        <v>5</v>
      </c>
      <c r="GP2" s="12">
        <v>3</v>
      </c>
      <c r="GQ2" s="12">
        <v>0</v>
      </c>
      <c r="GR2" s="12">
        <v>0</v>
      </c>
      <c r="GS2" s="12">
        <v>1</v>
      </c>
      <c r="GT2" s="12">
        <v>0</v>
      </c>
      <c r="GU2" s="13">
        <v>80</v>
      </c>
      <c r="GV2" s="13">
        <v>1</v>
      </c>
      <c r="GW2" s="13">
        <v>0</v>
      </c>
      <c r="GX2" s="13">
        <v>0</v>
      </c>
      <c r="GY2" s="10">
        <v>0</v>
      </c>
      <c r="GZ2" s="10">
        <v>0</v>
      </c>
      <c r="HA2" s="10">
        <v>0</v>
      </c>
      <c r="HB2" s="10">
        <v>5</v>
      </c>
      <c r="HC2" s="10">
        <v>0</v>
      </c>
      <c r="HD2" s="10">
        <v>0</v>
      </c>
      <c r="HE2" s="10">
        <v>0</v>
      </c>
      <c r="HF2" s="10">
        <v>0</v>
      </c>
      <c r="HG2" s="10">
        <v>0</v>
      </c>
      <c r="HH2" s="10">
        <v>0</v>
      </c>
      <c r="HI2" s="10">
        <v>0</v>
      </c>
      <c r="HJ2" s="10">
        <v>0</v>
      </c>
      <c r="HK2" s="10">
        <v>0</v>
      </c>
      <c r="HL2" s="10">
        <v>0</v>
      </c>
      <c r="HM2" s="10">
        <v>0</v>
      </c>
      <c r="HN2" s="81">
        <v>0</v>
      </c>
      <c r="HO2" s="81">
        <v>1</v>
      </c>
      <c r="HP2" s="81">
        <v>1</v>
      </c>
      <c r="HQ2" s="81">
        <v>0</v>
      </c>
      <c r="HR2" s="81">
        <v>0</v>
      </c>
      <c r="HS2" s="12">
        <v>0</v>
      </c>
      <c r="HT2" s="12">
        <v>0</v>
      </c>
      <c r="HU2" s="12">
        <v>0</v>
      </c>
      <c r="HV2" s="12">
        <v>0</v>
      </c>
      <c r="HW2" s="12">
        <v>0</v>
      </c>
      <c r="HX2" s="12">
        <v>0</v>
      </c>
      <c r="HY2" s="12">
        <v>0</v>
      </c>
      <c r="HZ2" s="12">
        <v>0</v>
      </c>
      <c r="IA2" s="12">
        <v>0</v>
      </c>
      <c r="IB2" s="12">
        <v>0</v>
      </c>
      <c r="IC2" s="12">
        <v>1</v>
      </c>
      <c r="ID2" s="12">
        <v>0</v>
      </c>
      <c r="IE2" s="12">
        <v>0</v>
      </c>
      <c r="IF2" s="12">
        <v>0</v>
      </c>
      <c r="IG2" s="12">
        <v>0</v>
      </c>
      <c r="IH2" s="12">
        <v>0</v>
      </c>
      <c r="II2" s="12">
        <v>0</v>
      </c>
      <c r="IJ2" s="12">
        <v>0</v>
      </c>
      <c r="IK2" s="12">
        <v>0</v>
      </c>
      <c r="IL2" s="12">
        <v>0</v>
      </c>
      <c r="IM2" s="12">
        <v>0</v>
      </c>
      <c r="IN2" s="12">
        <v>0</v>
      </c>
      <c r="IO2" s="12">
        <v>0</v>
      </c>
      <c r="IP2" s="12">
        <v>0</v>
      </c>
      <c r="IQ2" s="12">
        <v>0</v>
      </c>
      <c r="IR2" s="12">
        <v>0</v>
      </c>
      <c r="IS2" s="12">
        <v>0</v>
      </c>
      <c r="IT2" s="12">
        <v>0</v>
      </c>
      <c r="IU2" s="12">
        <v>0</v>
      </c>
      <c r="IV2" s="12">
        <v>0</v>
      </c>
      <c r="IW2" s="12">
        <v>0</v>
      </c>
      <c r="IX2" s="81">
        <v>9300</v>
      </c>
      <c r="IY2" s="81">
        <v>2000</v>
      </c>
      <c r="IZ2" s="81">
        <v>0</v>
      </c>
      <c r="JA2" s="85" t="s">
        <v>604</v>
      </c>
      <c r="JB2" s="85">
        <v>0</v>
      </c>
      <c r="JC2" s="85">
        <v>0</v>
      </c>
      <c r="JD2" s="12">
        <v>11</v>
      </c>
      <c r="JE2" s="12">
        <v>11</v>
      </c>
      <c r="JF2" s="12">
        <v>12</v>
      </c>
      <c r="JG2" s="12">
        <v>12</v>
      </c>
      <c r="JH2" s="12">
        <v>11</v>
      </c>
      <c r="JI2" s="12">
        <v>11</v>
      </c>
      <c r="JJ2" s="13" t="s">
        <v>619</v>
      </c>
      <c r="JK2" s="13" t="s">
        <v>350</v>
      </c>
      <c r="JL2" s="13" t="s">
        <v>296</v>
      </c>
      <c r="JM2" s="89"/>
      <c r="JN2" s="89"/>
      <c r="JO2" s="89" t="s">
        <v>296</v>
      </c>
      <c r="JP2" s="89"/>
      <c r="JQ2" s="89"/>
      <c r="JR2" s="89" t="s">
        <v>296</v>
      </c>
      <c r="JS2" s="89" t="s">
        <v>620</v>
      </c>
      <c r="JT2" s="89" t="s">
        <v>619</v>
      </c>
      <c r="JU2" s="89" t="s">
        <v>296</v>
      </c>
      <c r="JV2" s="89"/>
      <c r="JW2" s="89"/>
      <c r="JX2" s="89" t="s">
        <v>296</v>
      </c>
      <c r="JY2" s="12" t="s">
        <v>619</v>
      </c>
      <c r="JZ2" s="12" t="s">
        <v>34</v>
      </c>
      <c r="KA2" s="12" t="s">
        <v>34</v>
      </c>
      <c r="KB2" s="12" t="s">
        <v>34</v>
      </c>
      <c r="KC2" s="12" t="s">
        <v>34</v>
      </c>
      <c r="KD2" s="12" t="s">
        <v>34</v>
      </c>
      <c r="KE2" s="12" t="s">
        <v>34</v>
      </c>
      <c r="KF2" s="12"/>
      <c r="KG2" s="12" t="s">
        <v>34</v>
      </c>
      <c r="KH2" s="12" t="s">
        <v>34</v>
      </c>
      <c r="KI2" s="12" t="s">
        <v>34</v>
      </c>
      <c r="KJ2" s="12" t="s">
        <v>34</v>
      </c>
      <c r="KK2" s="12" t="s">
        <v>34</v>
      </c>
      <c r="KL2" s="12" t="s">
        <v>34</v>
      </c>
      <c r="KM2" s="12" t="s">
        <v>34</v>
      </c>
      <c r="KN2" s="12" t="s">
        <v>619</v>
      </c>
      <c r="KO2" s="12" t="s">
        <v>619</v>
      </c>
      <c r="KP2" s="12" t="s">
        <v>34</v>
      </c>
      <c r="KQ2" s="12" t="s">
        <v>619</v>
      </c>
      <c r="KR2" s="12" t="s">
        <v>619</v>
      </c>
      <c r="KS2" s="12" t="s">
        <v>34</v>
      </c>
      <c r="KT2" s="12" t="s">
        <v>34</v>
      </c>
      <c r="KU2" s="12" t="s">
        <v>34</v>
      </c>
      <c r="KV2" s="12" t="s">
        <v>34</v>
      </c>
      <c r="KW2" s="12" t="s">
        <v>34</v>
      </c>
      <c r="KX2" s="12" t="s">
        <v>34</v>
      </c>
      <c r="KY2" s="12" t="s">
        <v>34</v>
      </c>
      <c r="KZ2" s="12" t="s">
        <v>34</v>
      </c>
      <c r="LA2" s="12" t="s">
        <v>34</v>
      </c>
      <c r="LB2" s="12" t="s">
        <v>619</v>
      </c>
      <c r="LC2" s="12" t="s">
        <v>619</v>
      </c>
      <c r="LD2" s="12" t="s">
        <v>619</v>
      </c>
      <c r="LE2" s="12" t="s">
        <v>34</v>
      </c>
      <c r="LF2" s="12" t="s">
        <v>34</v>
      </c>
      <c r="LG2" s="12" t="s">
        <v>34</v>
      </c>
      <c r="LH2" s="12" t="s">
        <v>34</v>
      </c>
      <c r="LI2" s="12" t="s">
        <v>34</v>
      </c>
      <c r="LJ2" s="12" t="s">
        <v>34</v>
      </c>
      <c r="LK2" s="12" t="s">
        <v>34</v>
      </c>
      <c r="LL2" s="13" t="s">
        <v>619</v>
      </c>
      <c r="LM2" s="13" t="s">
        <v>34</v>
      </c>
      <c r="LN2" s="13" t="s">
        <v>619</v>
      </c>
      <c r="LO2" s="13" t="s">
        <v>34</v>
      </c>
      <c r="LP2" s="90" t="s">
        <v>619</v>
      </c>
      <c r="LQ2" s="13" t="s">
        <v>619</v>
      </c>
      <c r="LR2" s="13" t="s">
        <v>34</v>
      </c>
      <c r="LS2" s="13"/>
      <c r="LT2" s="13" t="s">
        <v>34</v>
      </c>
      <c r="LU2" s="13" t="s">
        <v>34</v>
      </c>
      <c r="LV2" s="13" t="s">
        <v>34</v>
      </c>
      <c r="LW2" s="13" t="s">
        <v>34</v>
      </c>
      <c r="LX2" s="13" t="s">
        <v>34</v>
      </c>
      <c r="LY2" s="13" t="s">
        <v>34</v>
      </c>
      <c r="LZ2" s="13" t="s">
        <v>619</v>
      </c>
      <c r="MA2" s="13" t="s">
        <v>619</v>
      </c>
      <c r="MB2" s="13" t="s">
        <v>619</v>
      </c>
      <c r="MC2" s="13" t="s">
        <v>34</v>
      </c>
      <c r="MD2" s="13" t="s">
        <v>619</v>
      </c>
      <c r="ME2" s="13" t="s">
        <v>619</v>
      </c>
      <c r="MF2" s="13" t="s">
        <v>34</v>
      </c>
      <c r="MG2" s="13" t="s">
        <v>619</v>
      </c>
      <c r="MH2" s="13" t="s">
        <v>34</v>
      </c>
      <c r="MI2" s="13" t="s">
        <v>34</v>
      </c>
      <c r="MJ2" s="13" t="s">
        <v>34</v>
      </c>
      <c r="MK2" s="13" t="s">
        <v>34</v>
      </c>
      <c r="ML2" s="13" t="s">
        <v>34</v>
      </c>
      <c r="MM2" s="13" t="s">
        <v>34</v>
      </c>
      <c r="MN2" s="13" t="s">
        <v>34</v>
      </c>
      <c r="MO2" s="13" t="s">
        <v>619</v>
      </c>
      <c r="MP2" s="13" t="s">
        <v>619</v>
      </c>
      <c r="MQ2" s="13" t="s">
        <v>619</v>
      </c>
      <c r="MR2" s="13" t="s">
        <v>34</v>
      </c>
      <c r="MS2" s="13" t="s">
        <v>34</v>
      </c>
      <c r="MT2" s="13" t="s">
        <v>34</v>
      </c>
      <c r="MU2" s="13" t="s">
        <v>34</v>
      </c>
      <c r="MV2" s="13" t="s">
        <v>34</v>
      </c>
      <c r="MW2" s="13" t="s">
        <v>34</v>
      </c>
      <c r="MX2" s="13" t="s">
        <v>34</v>
      </c>
      <c r="MY2" s="28" t="s">
        <v>296</v>
      </c>
      <c r="MZ2" s="28" t="s">
        <v>296</v>
      </c>
      <c r="NA2" s="28" t="s">
        <v>296</v>
      </c>
      <c r="NB2" s="28" t="s">
        <v>297</v>
      </c>
      <c r="NC2" s="28" t="s">
        <v>296</v>
      </c>
      <c r="ND2" s="28" t="s">
        <v>297</v>
      </c>
      <c r="NE2" s="28" t="s">
        <v>296</v>
      </c>
      <c r="NF2" s="28" t="s">
        <v>296</v>
      </c>
      <c r="NG2" s="28" t="s">
        <v>296</v>
      </c>
      <c r="NH2" s="28" t="s">
        <v>297</v>
      </c>
      <c r="NI2" s="177" t="s">
        <v>296</v>
      </c>
      <c r="NJ2" s="177" t="s">
        <v>297</v>
      </c>
      <c r="NK2" s="177" t="s">
        <v>296</v>
      </c>
      <c r="NL2" s="177" t="s">
        <v>296</v>
      </c>
      <c r="NM2" s="177" t="s">
        <v>296</v>
      </c>
      <c r="NN2" s="177" t="s">
        <v>296</v>
      </c>
      <c r="NO2" s="177" t="s">
        <v>296</v>
      </c>
      <c r="NP2" s="177" t="s">
        <v>296</v>
      </c>
      <c r="NQ2" s="177" t="s">
        <v>296</v>
      </c>
      <c r="NR2" s="12" t="s">
        <v>34</v>
      </c>
      <c r="NS2" s="13" t="s">
        <v>34</v>
      </c>
    </row>
    <row r="3" spans="1:383" x14ac:dyDescent="0.25">
      <c r="A3" s="8" t="s">
        <v>35</v>
      </c>
      <c r="B3" s="9" t="s">
        <v>36</v>
      </c>
      <c r="C3" s="9">
        <v>32</v>
      </c>
      <c r="D3" s="9" t="s">
        <v>37</v>
      </c>
      <c r="E3" s="10">
        <v>11</v>
      </c>
      <c r="F3" s="10">
        <v>11</v>
      </c>
      <c r="G3" s="10">
        <v>12</v>
      </c>
      <c r="H3" s="10">
        <v>16</v>
      </c>
      <c r="I3" s="10">
        <v>11</v>
      </c>
      <c r="J3" s="11">
        <v>95</v>
      </c>
      <c r="K3" s="11">
        <v>104</v>
      </c>
      <c r="L3" s="11">
        <v>113</v>
      </c>
      <c r="M3" s="11">
        <v>125</v>
      </c>
      <c r="N3" s="11">
        <v>89</v>
      </c>
      <c r="O3" s="13">
        <v>1654</v>
      </c>
      <c r="P3" s="13">
        <v>1614</v>
      </c>
      <c r="Q3" s="13">
        <v>1827</v>
      </c>
      <c r="R3" s="13">
        <v>1967</v>
      </c>
      <c r="S3" s="13">
        <v>1278</v>
      </c>
      <c r="T3" s="12">
        <v>152</v>
      </c>
      <c r="U3" s="12">
        <v>308</v>
      </c>
      <c r="V3" s="12">
        <v>265</v>
      </c>
      <c r="W3" s="12">
        <v>296</v>
      </c>
      <c r="X3" s="12">
        <v>217</v>
      </c>
      <c r="Y3" s="12">
        <v>7.66</v>
      </c>
      <c r="Z3" s="12">
        <v>7.68</v>
      </c>
      <c r="AA3" s="12">
        <v>7.68</v>
      </c>
      <c r="AB3" s="13">
        <v>7.66</v>
      </c>
      <c r="AC3" s="13">
        <v>7.68</v>
      </c>
      <c r="AD3" s="13">
        <v>7.68</v>
      </c>
      <c r="AE3" s="35" t="s">
        <v>259</v>
      </c>
      <c r="AF3" s="35" t="s">
        <v>259</v>
      </c>
      <c r="AG3" s="35" t="s">
        <v>259</v>
      </c>
      <c r="AH3" s="38">
        <v>0.5</v>
      </c>
      <c r="AI3" s="38">
        <v>0.5</v>
      </c>
      <c r="AJ3" s="38">
        <v>0.5</v>
      </c>
      <c r="AK3" s="45" t="s">
        <v>34</v>
      </c>
      <c r="AL3" s="45" t="s">
        <v>34</v>
      </c>
      <c r="AM3" s="45" t="s">
        <v>34</v>
      </c>
      <c r="AN3" s="45" t="s">
        <v>34</v>
      </c>
      <c r="AO3" s="45" t="s">
        <v>34</v>
      </c>
      <c r="AP3" s="45" t="s">
        <v>292</v>
      </c>
      <c r="AQ3" s="53" t="s">
        <v>297</v>
      </c>
      <c r="AR3" s="56">
        <v>43</v>
      </c>
      <c r="AS3" s="57">
        <v>16</v>
      </c>
      <c r="AT3" s="56">
        <v>0</v>
      </c>
      <c r="AU3" s="57">
        <v>5031</v>
      </c>
      <c r="AV3" s="57">
        <v>1164</v>
      </c>
      <c r="AW3" s="57">
        <v>0</v>
      </c>
      <c r="AX3" s="57">
        <v>4</v>
      </c>
      <c r="AY3" s="57">
        <v>6</v>
      </c>
      <c r="AZ3" s="57">
        <v>0</v>
      </c>
      <c r="BA3" s="57">
        <v>25</v>
      </c>
      <c r="BB3" s="57">
        <v>208</v>
      </c>
      <c r="BC3" s="57">
        <v>403</v>
      </c>
      <c r="BD3" s="57">
        <v>0</v>
      </c>
      <c r="BE3" s="57">
        <v>228</v>
      </c>
      <c r="BF3" s="57">
        <v>249</v>
      </c>
      <c r="BG3" s="57">
        <v>0</v>
      </c>
      <c r="BH3" s="57">
        <v>0</v>
      </c>
      <c r="BI3" s="57">
        <v>0</v>
      </c>
      <c r="BJ3" s="57" t="s">
        <v>297</v>
      </c>
      <c r="BK3" s="57">
        <v>9</v>
      </c>
      <c r="BL3" s="57">
        <v>0</v>
      </c>
      <c r="BM3" s="57">
        <v>0</v>
      </c>
      <c r="BN3" s="57">
        <v>500</v>
      </c>
      <c r="BO3" s="57">
        <v>224</v>
      </c>
      <c r="BP3" s="57">
        <v>422</v>
      </c>
      <c r="BQ3" s="76">
        <v>499</v>
      </c>
      <c r="BR3" s="76">
        <v>490</v>
      </c>
      <c r="BS3">
        <v>481</v>
      </c>
      <c r="BT3">
        <v>481</v>
      </c>
      <c r="BU3">
        <v>480</v>
      </c>
      <c r="BV3">
        <v>51865</v>
      </c>
      <c r="BW3">
        <v>51182</v>
      </c>
      <c r="BX3">
        <v>50087</v>
      </c>
      <c r="BY3">
        <v>49127</v>
      </c>
      <c r="BZ3">
        <v>47938</v>
      </c>
      <c r="CA3">
        <v>39</v>
      </c>
      <c r="CB3">
        <v>30</v>
      </c>
      <c r="CC3">
        <v>36</v>
      </c>
      <c r="CD3">
        <v>43</v>
      </c>
      <c r="CE3">
        <v>23</v>
      </c>
      <c r="CF3">
        <v>1806</v>
      </c>
      <c r="CG3">
        <v>1922</v>
      </c>
      <c r="CH3">
        <v>2092</v>
      </c>
      <c r="CI3">
        <v>2263</v>
      </c>
      <c r="CJ3">
        <v>1495</v>
      </c>
      <c r="CK3" s="10">
        <v>63.6</v>
      </c>
      <c r="CL3" s="10">
        <v>63.7</v>
      </c>
      <c r="CM3" s="10">
        <v>63.7</v>
      </c>
      <c r="CN3" s="11">
        <v>20.82</v>
      </c>
      <c r="CO3" s="11">
        <v>20.82</v>
      </c>
      <c r="CP3" s="11">
        <v>20.82</v>
      </c>
      <c r="CQ3" s="13">
        <v>6</v>
      </c>
      <c r="CR3" s="13">
        <v>1</v>
      </c>
      <c r="CS3" s="13">
        <v>1</v>
      </c>
      <c r="CT3" s="10">
        <v>0</v>
      </c>
      <c r="CU3" s="10">
        <v>0</v>
      </c>
      <c r="CV3" s="10">
        <v>1</v>
      </c>
      <c r="CW3" s="10">
        <v>0</v>
      </c>
      <c r="CX3" s="10">
        <v>0</v>
      </c>
      <c r="CY3" s="10">
        <v>0</v>
      </c>
      <c r="CZ3" s="10">
        <v>0</v>
      </c>
      <c r="DA3" s="10">
        <v>0</v>
      </c>
      <c r="DB3" s="10">
        <v>2</v>
      </c>
      <c r="DC3" s="10">
        <v>0</v>
      </c>
      <c r="DD3" s="10">
        <v>0</v>
      </c>
      <c r="DE3" s="10">
        <v>0</v>
      </c>
      <c r="DF3" s="10">
        <v>0</v>
      </c>
      <c r="DG3" s="10">
        <v>0</v>
      </c>
      <c r="DH3" s="10">
        <v>0</v>
      </c>
      <c r="DI3" s="81">
        <v>0</v>
      </c>
      <c r="DJ3" s="81">
        <v>0</v>
      </c>
      <c r="DK3" s="81">
        <v>0</v>
      </c>
      <c r="DL3" s="81">
        <v>0</v>
      </c>
      <c r="DM3" s="81">
        <v>0</v>
      </c>
      <c r="DN3" s="12">
        <v>1</v>
      </c>
      <c r="DO3" s="12">
        <v>1</v>
      </c>
      <c r="DP3" s="12">
        <v>2</v>
      </c>
      <c r="DQ3" s="12">
        <v>0</v>
      </c>
      <c r="DR3" s="12">
        <v>0</v>
      </c>
      <c r="DS3" s="12">
        <v>0</v>
      </c>
      <c r="DT3" s="12">
        <v>0</v>
      </c>
      <c r="DU3" s="12">
        <v>0</v>
      </c>
      <c r="DV3" s="12">
        <v>0</v>
      </c>
      <c r="DW3" s="12">
        <v>2</v>
      </c>
      <c r="DX3" s="12">
        <v>2</v>
      </c>
      <c r="DY3" s="12">
        <v>1</v>
      </c>
      <c r="DZ3" s="12">
        <v>1</v>
      </c>
      <c r="EA3" s="12">
        <v>0</v>
      </c>
      <c r="EB3" s="12">
        <v>4</v>
      </c>
      <c r="EC3" s="12">
        <v>0</v>
      </c>
      <c r="ED3" s="12">
        <v>3</v>
      </c>
      <c r="EE3" s="12">
        <v>0</v>
      </c>
      <c r="EF3" s="12">
        <v>0</v>
      </c>
      <c r="EG3" s="12">
        <v>0</v>
      </c>
      <c r="EH3" s="12">
        <v>0</v>
      </c>
      <c r="EI3" s="12">
        <v>0</v>
      </c>
      <c r="EJ3" s="12">
        <v>1</v>
      </c>
      <c r="EK3" s="12">
        <v>0</v>
      </c>
      <c r="EL3" s="12">
        <v>1</v>
      </c>
      <c r="EM3" s="12">
        <v>0</v>
      </c>
      <c r="EN3" s="12">
        <v>0</v>
      </c>
      <c r="EO3" s="12">
        <v>0</v>
      </c>
      <c r="EP3" s="12">
        <v>0</v>
      </c>
      <c r="EQ3" s="12">
        <v>0</v>
      </c>
      <c r="ER3" s="12">
        <v>0</v>
      </c>
      <c r="ES3" s="13">
        <v>5</v>
      </c>
      <c r="ET3" s="13">
        <v>2</v>
      </c>
      <c r="EU3" s="13">
        <v>0</v>
      </c>
      <c r="EV3" s="10">
        <v>0</v>
      </c>
      <c r="EW3" s="10">
        <v>0</v>
      </c>
      <c r="EX3" s="10">
        <v>1</v>
      </c>
      <c r="EY3" s="10">
        <v>0</v>
      </c>
      <c r="EZ3" s="10">
        <v>0</v>
      </c>
      <c r="FA3" s="10">
        <v>0</v>
      </c>
      <c r="FB3" s="10">
        <v>0</v>
      </c>
      <c r="FC3" s="10">
        <v>0</v>
      </c>
      <c r="FD3" s="10">
        <v>1</v>
      </c>
      <c r="FE3" s="10">
        <v>0</v>
      </c>
      <c r="FF3" s="10">
        <v>0</v>
      </c>
      <c r="FG3" s="10">
        <v>2</v>
      </c>
      <c r="FH3" s="10">
        <v>0</v>
      </c>
      <c r="FI3" s="10">
        <v>0</v>
      </c>
      <c r="FJ3" s="10">
        <v>0</v>
      </c>
      <c r="FK3" s="81">
        <v>0</v>
      </c>
      <c r="FL3" s="81">
        <v>0</v>
      </c>
      <c r="FM3" s="81">
        <v>1</v>
      </c>
      <c r="FN3" s="81">
        <v>0</v>
      </c>
      <c r="FO3" s="81">
        <v>2</v>
      </c>
      <c r="FP3" s="12">
        <v>1</v>
      </c>
      <c r="FQ3" s="12">
        <v>0</v>
      </c>
      <c r="FR3" s="12">
        <v>0</v>
      </c>
      <c r="FS3" s="12">
        <v>1</v>
      </c>
      <c r="FT3" s="12">
        <v>0</v>
      </c>
      <c r="FU3" s="12">
        <v>0</v>
      </c>
      <c r="FV3" s="12">
        <v>0</v>
      </c>
      <c r="FW3" s="12">
        <v>0</v>
      </c>
      <c r="FX3" s="12">
        <v>1</v>
      </c>
      <c r="FY3" s="12">
        <v>2</v>
      </c>
      <c r="FZ3" s="12">
        <v>0</v>
      </c>
      <c r="GA3" s="12">
        <v>0</v>
      </c>
      <c r="GB3" s="12">
        <v>0</v>
      </c>
      <c r="GC3" s="12">
        <v>0</v>
      </c>
      <c r="GD3" s="12">
        <v>4</v>
      </c>
      <c r="GE3" s="12">
        <v>0</v>
      </c>
      <c r="GF3" s="12">
        <v>3</v>
      </c>
      <c r="GG3" s="12">
        <v>0</v>
      </c>
      <c r="GH3" s="12">
        <v>0</v>
      </c>
      <c r="GI3" s="12">
        <v>0</v>
      </c>
      <c r="GJ3" s="12">
        <v>0</v>
      </c>
      <c r="GK3" s="12">
        <v>0</v>
      </c>
      <c r="GL3" s="12">
        <v>2</v>
      </c>
      <c r="GM3" s="12">
        <v>0</v>
      </c>
      <c r="GN3" s="12">
        <v>1</v>
      </c>
      <c r="GO3" s="12">
        <v>0</v>
      </c>
      <c r="GP3" s="12">
        <v>2</v>
      </c>
      <c r="GQ3" s="12">
        <v>1</v>
      </c>
      <c r="GR3" s="12">
        <v>0</v>
      </c>
      <c r="GS3" s="12">
        <v>1</v>
      </c>
      <c r="GT3" s="12">
        <v>0</v>
      </c>
      <c r="GU3" s="13">
        <v>16</v>
      </c>
      <c r="GV3" s="13">
        <v>0</v>
      </c>
      <c r="GW3" s="13">
        <v>0</v>
      </c>
      <c r="GX3" s="13">
        <v>0</v>
      </c>
      <c r="GY3" s="10">
        <v>0</v>
      </c>
      <c r="GZ3" s="10">
        <v>0</v>
      </c>
      <c r="HA3" s="10">
        <v>0</v>
      </c>
      <c r="HB3" s="10">
        <v>0</v>
      </c>
      <c r="HC3" s="10">
        <v>0</v>
      </c>
      <c r="HD3" s="10">
        <v>0</v>
      </c>
      <c r="HE3" s="10">
        <v>0</v>
      </c>
      <c r="HF3" s="10">
        <v>0</v>
      </c>
      <c r="HG3" s="10">
        <v>0</v>
      </c>
      <c r="HH3" s="10">
        <v>0</v>
      </c>
      <c r="HI3" s="10">
        <v>0</v>
      </c>
      <c r="HJ3" s="10">
        <v>0</v>
      </c>
      <c r="HK3" s="10">
        <v>0</v>
      </c>
      <c r="HL3" s="10">
        <v>0</v>
      </c>
      <c r="HM3" s="10">
        <v>0</v>
      </c>
      <c r="HN3" s="81">
        <v>0</v>
      </c>
      <c r="HO3" s="81">
        <v>0</v>
      </c>
      <c r="HP3" s="81">
        <v>0</v>
      </c>
      <c r="HQ3" s="81">
        <v>0</v>
      </c>
      <c r="HR3" s="81">
        <v>0</v>
      </c>
      <c r="HS3" s="12">
        <v>0</v>
      </c>
      <c r="HT3" s="12">
        <v>0</v>
      </c>
      <c r="HU3" s="12">
        <v>0</v>
      </c>
      <c r="HV3" s="12">
        <v>0</v>
      </c>
      <c r="HW3" s="12">
        <v>0</v>
      </c>
      <c r="HX3" s="12">
        <v>0</v>
      </c>
      <c r="HY3" s="12">
        <v>0</v>
      </c>
      <c r="HZ3" s="12">
        <v>0</v>
      </c>
      <c r="IA3" s="12">
        <v>0</v>
      </c>
      <c r="IB3" s="12">
        <v>0</v>
      </c>
      <c r="IC3" s="12">
        <v>0</v>
      </c>
      <c r="ID3" s="12">
        <v>0</v>
      </c>
      <c r="IE3" s="12">
        <v>0</v>
      </c>
      <c r="IF3" s="12">
        <v>0</v>
      </c>
      <c r="IG3" s="12">
        <v>0</v>
      </c>
      <c r="IH3" s="12">
        <v>0</v>
      </c>
      <c r="II3" s="12">
        <v>0</v>
      </c>
      <c r="IJ3" s="12">
        <v>0</v>
      </c>
      <c r="IK3" s="12">
        <v>0</v>
      </c>
      <c r="IL3" s="12">
        <v>0</v>
      </c>
      <c r="IM3" s="12">
        <v>0</v>
      </c>
      <c r="IN3" s="12">
        <v>0</v>
      </c>
      <c r="IO3" s="12">
        <v>0</v>
      </c>
      <c r="IP3" s="12">
        <v>0</v>
      </c>
      <c r="IQ3" s="12">
        <v>0</v>
      </c>
      <c r="IR3" s="12">
        <v>0</v>
      </c>
      <c r="IS3" s="12">
        <v>0</v>
      </c>
      <c r="IT3" s="12">
        <v>0</v>
      </c>
      <c r="IU3" s="12">
        <v>0</v>
      </c>
      <c r="IV3" s="12">
        <v>0</v>
      </c>
      <c r="IW3" s="12">
        <v>0</v>
      </c>
      <c r="IX3" s="11">
        <v>4800</v>
      </c>
      <c r="IY3" s="11">
        <v>4300</v>
      </c>
      <c r="IZ3" s="11">
        <v>4320</v>
      </c>
      <c r="JA3" s="85">
        <v>0</v>
      </c>
      <c r="JB3" s="85">
        <v>1</v>
      </c>
      <c r="JC3" s="85">
        <v>1</v>
      </c>
      <c r="JD3" s="12">
        <v>12</v>
      </c>
      <c r="JE3" s="12">
        <v>2</v>
      </c>
      <c r="JF3" s="12">
        <v>12</v>
      </c>
      <c r="JG3" s="12">
        <v>1</v>
      </c>
      <c r="JH3" s="12">
        <v>12</v>
      </c>
      <c r="JI3" s="12">
        <v>1</v>
      </c>
      <c r="JJ3" s="13" t="s">
        <v>619</v>
      </c>
      <c r="JK3" s="13" t="s">
        <v>350</v>
      </c>
      <c r="JL3" s="13" t="s">
        <v>296</v>
      </c>
      <c r="JM3" s="89"/>
      <c r="JN3" s="89"/>
      <c r="JO3" s="89" t="s">
        <v>296</v>
      </c>
      <c r="JP3" s="89"/>
      <c r="JQ3" s="89"/>
      <c r="JR3" s="89" t="s">
        <v>296</v>
      </c>
      <c r="JS3" s="89" t="s">
        <v>619</v>
      </c>
      <c r="JT3" s="89" t="s">
        <v>619</v>
      </c>
      <c r="JU3" s="89" t="s">
        <v>296</v>
      </c>
      <c r="JV3" s="89"/>
      <c r="JW3" s="89"/>
      <c r="JX3" s="89" t="s">
        <v>296</v>
      </c>
      <c r="JY3" s="12" t="s">
        <v>619</v>
      </c>
      <c r="JZ3" s="12" t="s">
        <v>34</v>
      </c>
      <c r="KA3" s="12" t="s">
        <v>34</v>
      </c>
      <c r="KB3" s="12" t="s">
        <v>34</v>
      </c>
      <c r="KC3" s="12" t="s">
        <v>619</v>
      </c>
      <c r="KD3" s="12" t="s">
        <v>34</v>
      </c>
      <c r="KE3" s="12" t="s">
        <v>34</v>
      </c>
      <c r="KF3" s="12"/>
      <c r="KG3" s="12" t="s">
        <v>34</v>
      </c>
      <c r="KH3" s="12" t="s">
        <v>34</v>
      </c>
      <c r="KI3" s="12" t="s">
        <v>34</v>
      </c>
      <c r="KJ3" s="12" t="s">
        <v>34</v>
      </c>
      <c r="KK3" s="12" t="s">
        <v>34</v>
      </c>
      <c r="KL3" s="12" t="s">
        <v>34</v>
      </c>
      <c r="KM3" s="12" t="s">
        <v>34</v>
      </c>
      <c r="KN3" s="12" t="s">
        <v>619</v>
      </c>
      <c r="KO3" s="12" t="s">
        <v>619</v>
      </c>
      <c r="KP3" s="12" t="s">
        <v>34</v>
      </c>
      <c r="KQ3" s="12" t="s">
        <v>619</v>
      </c>
      <c r="KR3" s="12" t="s">
        <v>34</v>
      </c>
      <c r="KS3" s="12" t="s">
        <v>34</v>
      </c>
      <c r="KT3" s="12" t="s">
        <v>34</v>
      </c>
      <c r="KU3" s="12" t="s">
        <v>34</v>
      </c>
      <c r="KV3" s="12" t="s">
        <v>34</v>
      </c>
      <c r="KW3" s="12" t="s">
        <v>34</v>
      </c>
      <c r="KX3" s="12" t="s">
        <v>34</v>
      </c>
      <c r="KY3" s="12" t="s">
        <v>34</v>
      </c>
      <c r="KZ3" s="12" t="s">
        <v>34</v>
      </c>
      <c r="LA3" s="12" t="s">
        <v>34</v>
      </c>
      <c r="LB3" s="12" t="s">
        <v>619</v>
      </c>
      <c r="LC3" s="12" t="s">
        <v>34</v>
      </c>
      <c r="LD3" s="12" t="s">
        <v>619</v>
      </c>
      <c r="LE3" s="12" t="s">
        <v>619</v>
      </c>
      <c r="LF3" s="12" t="s">
        <v>34</v>
      </c>
      <c r="LG3" s="12" t="s">
        <v>34</v>
      </c>
      <c r="LH3" s="12" t="s">
        <v>34</v>
      </c>
      <c r="LI3" s="12" t="s">
        <v>34</v>
      </c>
      <c r="LJ3" s="12" t="s">
        <v>34</v>
      </c>
      <c r="LK3" s="12" t="s">
        <v>34</v>
      </c>
      <c r="LL3" s="13" t="s">
        <v>619</v>
      </c>
      <c r="LM3" s="13" t="s">
        <v>34</v>
      </c>
      <c r="LN3" s="13" t="s">
        <v>34</v>
      </c>
      <c r="LO3" s="13" t="s">
        <v>34</v>
      </c>
      <c r="LP3" s="90" t="s">
        <v>34</v>
      </c>
      <c r="LQ3" s="13" t="s">
        <v>34</v>
      </c>
      <c r="LR3" s="13" t="s">
        <v>34</v>
      </c>
      <c r="LS3" s="13"/>
      <c r="LT3" s="13" t="s">
        <v>34</v>
      </c>
      <c r="LU3" s="13" t="s">
        <v>34</v>
      </c>
      <c r="LV3" s="13" t="s">
        <v>34</v>
      </c>
      <c r="LW3" s="13" t="s">
        <v>34</v>
      </c>
      <c r="LX3" s="13" t="s">
        <v>34</v>
      </c>
      <c r="LY3" s="13" t="s">
        <v>34</v>
      </c>
      <c r="LZ3" s="13" t="s">
        <v>34</v>
      </c>
      <c r="MA3" s="13" t="s">
        <v>619</v>
      </c>
      <c r="MB3" s="13" t="s">
        <v>619</v>
      </c>
      <c r="MC3" s="13" t="s">
        <v>34</v>
      </c>
      <c r="MD3" s="13" t="s">
        <v>619</v>
      </c>
      <c r="ME3" s="13" t="s">
        <v>34</v>
      </c>
      <c r="MF3" s="13" t="s">
        <v>34</v>
      </c>
      <c r="MG3" s="13" t="s">
        <v>34</v>
      </c>
      <c r="MH3" s="13" t="s">
        <v>34</v>
      </c>
      <c r="MI3" s="13" t="s">
        <v>34</v>
      </c>
      <c r="MJ3" s="13" t="s">
        <v>34</v>
      </c>
      <c r="MK3" s="13" t="s">
        <v>34</v>
      </c>
      <c r="ML3" s="13" t="s">
        <v>34</v>
      </c>
      <c r="MM3" s="13" t="s">
        <v>34</v>
      </c>
      <c r="MN3" s="13" t="s">
        <v>34</v>
      </c>
      <c r="MO3" s="13" t="s">
        <v>619</v>
      </c>
      <c r="MP3" s="13" t="s">
        <v>34</v>
      </c>
      <c r="MQ3" s="13" t="s">
        <v>619</v>
      </c>
      <c r="MR3" s="13" t="s">
        <v>34</v>
      </c>
      <c r="MS3" s="13" t="s">
        <v>34</v>
      </c>
      <c r="MT3" s="13" t="s">
        <v>34</v>
      </c>
      <c r="MU3" s="13" t="s">
        <v>34</v>
      </c>
      <c r="MV3" s="13" t="s">
        <v>619</v>
      </c>
      <c r="MW3" s="13" t="s">
        <v>34</v>
      </c>
      <c r="MX3" s="13" t="s">
        <v>34</v>
      </c>
      <c r="MY3" s="28" t="s">
        <v>296</v>
      </c>
      <c r="MZ3" s="28" t="s">
        <v>297</v>
      </c>
      <c r="NA3" s="28" t="s">
        <v>296</v>
      </c>
      <c r="NB3" s="28" t="s">
        <v>296</v>
      </c>
      <c r="NC3" s="28" t="s">
        <v>296</v>
      </c>
      <c r="ND3" s="28" t="s">
        <v>296</v>
      </c>
      <c r="NE3" s="28" t="s">
        <v>296</v>
      </c>
      <c r="NF3" s="28" t="s">
        <v>296</v>
      </c>
      <c r="NG3" s="28" t="s">
        <v>297</v>
      </c>
      <c r="NH3" s="28" t="s">
        <v>297</v>
      </c>
      <c r="NI3" s="177" t="s">
        <v>296</v>
      </c>
      <c r="NJ3" s="177" t="s">
        <v>297</v>
      </c>
      <c r="NK3" s="177" t="s">
        <v>296</v>
      </c>
      <c r="NL3" s="177" t="s">
        <v>297</v>
      </c>
      <c r="NM3" s="177" t="s">
        <v>296</v>
      </c>
      <c r="NN3" s="177" t="s">
        <v>296</v>
      </c>
      <c r="NO3" s="177" t="s">
        <v>296</v>
      </c>
      <c r="NP3" s="177" t="s">
        <v>296</v>
      </c>
      <c r="NQ3" s="177" t="s">
        <v>296</v>
      </c>
      <c r="NR3" s="12" t="s">
        <v>34</v>
      </c>
      <c r="NS3" s="13" t="s">
        <v>34</v>
      </c>
    </row>
    <row r="4" spans="1:383" x14ac:dyDescent="0.25">
      <c r="A4" s="8" t="s">
        <v>38</v>
      </c>
      <c r="B4" s="9" t="s">
        <v>39</v>
      </c>
      <c r="C4" s="9">
        <v>84</v>
      </c>
      <c r="D4" s="9" t="s">
        <v>33</v>
      </c>
      <c r="E4" s="10">
        <v>30</v>
      </c>
      <c r="F4" s="10">
        <v>25</v>
      </c>
      <c r="G4" s="10">
        <v>26</v>
      </c>
      <c r="H4" s="10">
        <v>22</v>
      </c>
      <c r="I4" s="10">
        <v>14</v>
      </c>
      <c r="J4" s="11">
        <v>194</v>
      </c>
      <c r="K4" s="11">
        <v>191</v>
      </c>
      <c r="L4" s="11">
        <v>157</v>
      </c>
      <c r="M4" s="11">
        <v>143</v>
      </c>
      <c r="N4" s="11">
        <v>84</v>
      </c>
      <c r="O4" s="13">
        <v>1875</v>
      </c>
      <c r="P4" s="13">
        <v>1964</v>
      </c>
      <c r="Q4" s="13">
        <v>1693</v>
      </c>
      <c r="R4" s="13">
        <v>1476</v>
      </c>
      <c r="S4" s="13">
        <v>1102</v>
      </c>
      <c r="T4" s="12">
        <v>994</v>
      </c>
      <c r="U4" s="12">
        <v>951</v>
      </c>
      <c r="V4" s="12">
        <v>837</v>
      </c>
      <c r="W4" s="12">
        <v>640</v>
      </c>
      <c r="X4" s="12">
        <v>434</v>
      </c>
      <c r="Y4" s="12">
        <v>5.79</v>
      </c>
      <c r="Z4" s="12">
        <v>5.81</v>
      </c>
      <c r="AA4" s="12">
        <v>5.81</v>
      </c>
      <c r="AB4" s="13">
        <v>5.45</v>
      </c>
      <c r="AC4" s="13">
        <v>5.47</v>
      </c>
      <c r="AD4" s="13">
        <v>5.47</v>
      </c>
      <c r="AE4" s="35" t="s">
        <v>259</v>
      </c>
      <c r="AF4" s="35" t="s">
        <v>259</v>
      </c>
      <c r="AG4" s="35" t="s">
        <v>259</v>
      </c>
      <c r="AH4" s="38">
        <v>0.75</v>
      </c>
      <c r="AI4" s="38">
        <v>0.75</v>
      </c>
      <c r="AJ4" s="38">
        <v>0.75</v>
      </c>
      <c r="AK4" s="45" t="s">
        <v>34</v>
      </c>
      <c r="AL4" s="45" t="s">
        <v>34</v>
      </c>
      <c r="AM4" s="45" t="s">
        <v>34</v>
      </c>
      <c r="AN4" s="45" t="s">
        <v>34</v>
      </c>
      <c r="AO4" s="45" t="s">
        <v>34</v>
      </c>
      <c r="AP4" s="45" t="s">
        <v>34</v>
      </c>
      <c r="AQ4" s="53" t="s">
        <v>297</v>
      </c>
      <c r="AR4" s="56">
        <v>93</v>
      </c>
      <c r="AS4" s="57">
        <v>39</v>
      </c>
      <c r="AT4" s="56">
        <v>50</v>
      </c>
      <c r="AU4" s="57">
        <v>7925</v>
      </c>
      <c r="AV4" s="57">
        <v>3418</v>
      </c>
      <c r="AW4" s="57">
        <v>2389</v>
      </c>
      <c r="AX4" s="57">
        <v>29</v>
      </c>
      <c r="AY4" s="57">
        <v>20</v>
      </c>
      <c r="AZ4" s="57">
        <v>8</v>
      </c>
      <c r="BA4" s="57">
        <v>2542</v>
      </c>
      <c r="BB4" s="57">
        <v>4083</v>
      </c>
      <c r="BC4" s="57">
        <v>4209</v>
      </c>
      <c r="BD4" s="57">
        <v>926</v>
      </c>
      <c r="BE4" s="57">
        <v>315</v>
      </c>
      <c r="BF4" s="57">
        <v>253</v>
      </c>
      <c r="BG4" s="57">
        <v>389</v>
      </c>
      <c r="BH4" s="57">
        <v>550</v>
      </c>
      <c r="BI4" s="57">
        <v>831</v>
      </c>
      <c r="BJ4" s="57" t="s">
        <v>297</v>
      </c>
      <c r="BK4" s="57">
        <v>15</v>
      </c>
      <c r="BL4" s="57">
        <v>0</v>
      </c>
      <c r="BM4" s="57">
        <v>0</v>
      </c>
      <c r="BN4" s="57">
        <v>280</v>
      </c>
      <c r="BO4" s="57">
        <v>120</v>
      </c>
      <c r="BP4" s="57">
        <v>354</v>
      </c>
      <c r="BQ4" s="76">
        <v>354</v>
      </c>
      <c r="BR4" s="76">
        <v>346</v>
      </c>
      <c r="BS4">
        <v>343</v>
      </c>
      <c r="BT4">
        <v>343</v>
      </c>
      <c r="BU4">
        <v>342</v>
      </c>
      <c r="BV4">
        <v>25859</v>
      </c>
      <c r="BW4">
        <v>25570</v>
      </c>
      <c r="BX4">
        <v>25239</v>
      </c>
      <c r="BY4">
        <v>25064</v>
      </c>
      <c r="BZ4">
        <v>24444</v>
      </c>
      <c r="CA4">
        <v>80</v>
      </c>
      <c r="CB4">
        <v>87</v>
      </c>
      <c r="CC4">
        <v>71</v>
      </c>
      <c r="CD4">
        <v>55</v>
      </c>
      <c r="CE4">
        <v>61</v>
      </c>
      <c r="CF4">
        <v>2869</v>
      </c>
      <c r="CG4">
        <v>2915</v>
      </c>
      <c r="CH4">
        <v>2530</v>
      </c>
      <c r="CI4">
        <v>2116</v>
      </c>
      <c r="CJ4">
        <v>1536</v>
      </c>
      <c r="CK4" s="10">
        <v>50.1</v>
      </c>
      <c r="CL4" s="10">
        <v>50.2</v>
      </c>
      <c r="CM4" s="10">
        <v>50.2</v>
      </c>
      <c r="CN4" s="11">
        <v>23.91</v>
      </c>
      <c r="CO4" s="11">
        <v>23.91</v>
      </c>
      <c r="CP4" s="11">
        <v>23.91</v>
      </c>
      <c r="CQ4" s="13">
        <v>19</v>
      </c>
      <c r="CR4" s="13">
        <v>1</v>
      </c>
      <c r="CS4" s="13">
        <v>0</v>
      </c>
      <c r="CT4" s="10">
        <v>0</v>
      </c>
      <c r="CU4" s="10">
        <v>0</v>
      </c>
      <c r="CV4" s="10">
        <v>6</v>
      </c>
      <c r="CW4" s="10">
        <v>17</v>
      </c>
      <c r="CX4" s="10">
        <v>2</v>
      </c>
      <c r="CY4" s="10">
        <v>0</v>
      </c>
      <c r="CZ4" s="10">
        <v>0</v>
      </c>
      <c r="DA4" s="10">
        <v>0</v>
      </c>
      <c r="DB4" s="10">
        <v>0</v>
      </c>
      <c r="DC4" s="10">
        <v>0</v>
      </c>
      <c r="DD4" s="10">
        <v>0</v>
      </c>
      <c r="DE4" s="10">
        <v>0</v>
      </c>
      <c r="DF4" s="10">
        <v>1</v>
      </c>
      <c r="DG4" s="10">
        <v>0</v>
      </c>
      <c r="DH4" s="10">
        <v>1</v>
      </c>
      <c r="DI4" s="81">
        <v>1</v>
      </c>
      <c r="DJ4" s="81">
        <v>0</v>
      </c>
      <c r="DK4" s="81">
        <v>7</v>
      </c>
      <c r="DL4" s="81">
        <v>0</v>
      </c>
      <c r="DM4" s="81">
        <v>2</v>
      </c>
      <c r="DN4" s="12">
        <v>1</v>
      </c>
      <c r="DO4" s="12">
        <v>6</v>
      </c>
      <c r="DP4" s="12">
        <v>4</v>
      </c>
      <c r="DQ4" s="12">
        <v>6</v>
      </c>
      <c r="DR4" s="12">
        <v>0</v>
      </c>
      <c r="DS4" s="12">
        <v>0</v>
      </c>
      <c r="DT4" s="12">
        <v>0</v>
      </c>
      <c r="DU4" s="12">
        <v>0</v>
      </c>
      <c r="DV4" s="12">
        <v>0</v>
      </c>
      <c r="DW4" s="12">
        <v>10</v>
      </c>
      <c r="DX4" s="12">
        <v>6</v>
      </c>
      <c r="DY4" s="12">
        <v>6</v>
      </c>
      <c r="DZ4" s="12">
        <v>0</v>
      </c>
      <c r="EA4" s="12">
        <v>0</v>
      </c>
      <c r="EB4" s="12">
        <v>9</v>
      </c>
      <c r="EC4" s="12">
        <v>3</v>
      </c>
      <c r="ED4" s="12">
        <v>2</v>
      </c>
      <c r="EE4" s="12">
        <v>8</v>
      </c>
      <c r="EF4" s="12">
        <v>0</v>
      </c>
      <c r="EG4" s="12">
        <v>0</v>
      </c>
      <c r="EH4" s="12">
        <v>0</v>
      </c>
      <c r="EI4" s="12">
        <v>0</v>
      </c>
      <c r="EJ4" s="12">
        <v>0</v>
      </c>
      <c r="EK4" s="12">
        <v>0</v>
      </c>
      <c r="EL4" s="12">
        <v>12</v>
      </c>
      <c r="EM4" s="12">
        <v>0</v>
      </c>
      <c r="EN4" s="12">
        <v>4</v>
      </c>
      <c r="EO4" s="12">
        <v>1</v>
      </c>
      <c r="EP4" s="12">
        <v>0</v>
      </c>
      <c r="EQ4" s="12">
        <v>12</v>
      </c>
      <c r="ER4" s="12">
        <v>0</v>
      </c>
      <c r="ES4" s="13">
        <v>12</v>
      </c>
      <c r="ET4" s="13">
        <v>0</v>
      </c>
      <c r="EU4" s="13">
        <v>0</v>
      </c>
      <c r="EV4" s="10">
        <v>0</v>
      </c>
      <c r="EW4" s="10">
        <v>0</v>
      </c>
      <c r="EX4" s="10">
        <v>0</v>
      </c>
      <c r="EY4" s="10">
        <v>0</v>
      </c>
      <c r="EZ4" s="10">
        <v>0</v>
      </c>
      <c r="FA4" s="10">
        <v>0</v>
      </c>
      <c r="FB4" s="10">
        <v>0</v>
      </c>
      <c r="FC4" s="10">
        <v>0</v>
      </c>
      <c r="FD4" s="10">
        <v>0</v>
      </c>
      <c r="FE4" s="10">
        <v>0</v>
      </c>
      <c r="FF4" s="10">
        <v>0</v>
      </c>
      <c r="FG4" s="10">
        <v>0</v>
      </c>
      <c r="FH4" s="10">
        <v>2</v>
      </c>
      <c r="FI4" s="10">
        <v>0</v>
      </c>
      <c r="FJ4" s="10">
        <v>0</v>
      </c>
      <c r="FK4" s="81">
        <v>0</v>
      </c>
      <c r="FL4" s="81">
        <v>0</v>
      </c>
      <c r="FM4" s="81">
        <v>3</v>
      </c>
      <c r="FN4" s="81">
        <v>0</v>
      </c>
      <c r="FO4" s="81">
        <v>1</v>
      </c>
      <c r="FP4" s="12">
        <v>5</v>
      </c>
      <c r="FQ4" s="12">
        <v>0</v>
      </c>
      <c r="FR4" s="12">
        <v>0</v>
      </c>
      <c r="FS4" s="12">
        <v>0</v>
      </c>
      <c r="FT4" s="12">
        <v>0</v>
      </c>
      <c r="FU4" s="12">
        <v>0</v>
      </c>
      <c r="FV4" s="12">
        <v>0</v>
      </c>
      <c r="FW4" s="12">
        <v>0</v>
      </c>
      <c r="FX4" s="12">
        <v>5</v>
      </c>
      <c r="FY4" s="12">
        <v>0</v>
      </c>
      <c r="FZ4" s="12">
        <v>0</v>
      </c>
      <c r="GA4" s="12">
        <v>0</v>
      </c>
      <c r="GB4" s="12">
        <v>0</v>
      </c>
      <c r="GC4" s="12">
        <v>0</v>
      </c>
      <c r="GD4" s="12">
        <v>12</v>
      </c>
      <c r="GE4" s="12">
        <v>1</v>
      </c>
      <c r="GF4" s="12">
        <v>9</v>
      </c>
      <c r="GG4" s="12">
        <v>0</v>
      </c>
      <c r="GH4" s="12">
        <v>0</v>
      </c>
      <c r="GI4" s="12">
        <v>0</v>
      </c>
      <c r="GJ4" s="12">
        <v>0</v>
      </c>
      <c r="GK4" s="12">
        <v>0</v>
      </c>
      <c r="GL4" s="12">
        <v>0</v>
      </c>
      <c r="GM4" s="12">
        <v>0</v>
      </c>
      <c r="GN4" s="12">
        <v>0</v>
      </c>
      <c r="GO4" s="12">
        <v>0</v>
      </c>
      <c r="GP4" s="12">
        <v>5</v>
      </c>
      <c r="GQ4" s="12">
        <v>5</v>
      </c>
      <c r="GR4" s="12">
        <v>0</v>
      </c>
      <c r="GS4" s="12">
        <v>0</v>
      </c>
      <c r="GT4" s="12">
        <v>0</v>
      </c>
      <c r="GU4" s="13">
        <v>39</v>
      </c>
      <c r="GV4" s="13">
        <v>13</v>
      </c>
      <c r="GW4" s="13">
        <v>2</v>
      </c>
      <c r="GX4" s="13">
        <v>0</v>
      </c>
      <c r="GY4" s="10">
        <v>0</v>
      </c>
      <c r="GZ4" s="10">
        <v>0</v>
      </c>
      <c r="HA4" s="10">
        <v>15</v>
      </c>
      <c r="HB4" s="10">
        <v>17</v>
      </c>
      <c r="HC4" s="10">
        <v>6</v>
      </c>
      <c r="HD4" s="10">
        <v>0</v>
      </c>
      <c r="HE4" s="10">
        <v>0</v>
      </c>
      <c r="HF4" s="10">
        <v>0</v>
      </c>
      <c r="HG4" s="10">
        <v>0</v>
      </c>
      <c r="HH4" s="10">
        <v>0</v>
      </c>
      <c r="HI4" s="10">
        <v>0</v>
      </c>
      <c r="HJ4" s="10">
        <v>0</v>
      </c>
      <c r="HK4" s="10">
        <v>0</v>
      </c>
      <c r="HL4" s="10">
        <v>0</v>
      </c>
      <c r="HM4" s="10">
        <v>1</v>
      </c>
      <c r="HN4" s="81">
        <v>0</v>
      </c>
      <c r="HO4" s="81">
        <v>2</v>
      </c>
      <c r="HP4" s="81">
        <v>3</v>
      </c>
      <c r="HQ4" s="81">
        <v>0</v>
      </c>
      <c r="HR4" s="81">
        <v>0</v>
      </c>
      <c r="HS4" s="12">
        <v>0</v>
      </c>
      <c r="HT4" s="12">
        <v>0</v>
      </c>
      <c r="HU4" s="12">
        <v>0</v>
      </c>
      <c r="HV4" s="12">
        <v>0</v>
      </c>
      <c r="HW4" s="12">
        <v>0</v>
      </c>
      <c r="HX4" s="12">
        <v>0</v>
      </c>
      <c r="HY4" s="12">
        <v>0</v>
      </c>
      <c r="HZ4" s="12">
        <v>0</v>
      </c>
      <c r="IA4" s="12">
        <v>0</v>
      </c>
      <c r="IB4" s="12">
        <v>1</v>
      </c>
      <c r="IC4" s="12">
        <v>0</v>
      </c>
      <c r="ID4" s="12">
        <v>1</v>
      </c>
      <c r="IE4" s="12">
        <v>1</v>
      </c>
      <c r="IF4" s="12">
        <v>0</v>
      </c>
      <c r="IG4" s="12">
        <v>5</v>
      </c>
      <c r="IH4" s="12">
        <v>0</v>
      </c>
      <c r="II4" s="12">
        <v>1</v>
      </c>
      <c r="IJ4" s="12">
        <v>0</v>
      </c>
      <c r="IK4" s="12">
        <v>0</v>
      </c>
      <c r="IL4" s="12">
        <v>0</v>
      </c>
      <c r="IM4" s="12">
        <v>0</v>
      </c>
      <c r="IN4" s="12">
        <v>0</v>
      </c>
      <c r="IO4" s="12">
        <v>0</v>
      </c>
      <c r="IP4" s="12">
        <v>0</v>
      </c>
      <c r="IQ4" s="12">
        <v>0</v>
      </c>
      <c r="IR4" s="12">
        <v>0</v>
      </c>
      <c r="IS4" s="12">
        <v>0</v>
      </c>
      <c r="IT4" s="12">
        <v>0</v>
      </c>
      <c r="IU4" s="12">
        <v>0</v>
      </c>
      <c r="IV4" s="12">
        <v>0</v>
      </c>
      <c r="IW4" s="12">
        <v>0</v>
      </c>
      <c r="IX4" s="11">
        <v>3600</v>
      </c>
      <c r="IY4" s="11">
        <v>3600</v>
      </c>
      <c r="IZ4" s="11">
        <v>3600</v>
      </c>
      <c r="JA4" s="85">
        <v>1</v>
      </c>
      <c r="JB4" s="85">
        <v>1</v>
      </c>
      <c r="JC4" s="85">
        <v>0</v>
      </c>
      <c r="JD4" s="12">
        <v>6</v>
      </c>
      <c r="JE4" s="12">
        <v>1</v>
      </c>
      <c r="JF4" s="12">
        <v>6</v>
      </c>
      <c r="JG4" s="12">
        <v>1</v>
      </c>
      <c r="JH4" s="12">
        <v>7</v>
      </c>
      <c r="JI4" s="12">
        <v>1</v>
      </c>
      <c r="JJ4" s="13" t="s">
        <v>620</v>
      </c>
      <c r="JK4" s="13" t="s">
        <v>619</v>
      </c>
      <c r="JL4" s="13" t="s">
        <v>297</v>
      </c>
      <c r="JM4" s="89"/>
      <c r="JN4" s="89"/>
      <c r="JO4" s="89" t="s">
        <v>296</v>
      </c>
      <c r="JP4" s="89"/>
      <c r="JQ4" s="89"/>
      <c r="JR4" s="89" t="s">
        <v>296</v>
      </c>
      <c r="JS4" s="89" t="s">
        <v>620</v>
      </c>
      <c r="JT4" s="89" t="s">
        <v>620</v>
      </c>
      <c r="JU4" s="89" t="s">
        <v>296</v>
      </c>
      <c r="JV4" s="89"/>
      <c r="JW4" s="89"/>
      <c r="JX4" s="89" t="s">
        <v>296</v>
      </c>
      <c r="JY4" s="12" t="s">
        <v>34</v>
      </c>
      <c r="JZ4" s="12" t="s">
        <v>34</v>
      </c>
      <c r="KA4" s="12" t="s">
        <v>34</v>
      </c>
      <c r="KB4" s="12" t="s">
        <v>34</v>
      </c>
      <c r="KC4" s="12" t="s">
        <v>34</v>
      </c>
      <c r="KD4" s="12" t="s">
        <v>34</v>
      </c>
      <c r="KE4" s="12" t="s">
        <v>34</v>
      </c>
      <c r="KF4" s="12"/>
      <c r="KG4" s="12" t="s">
        <v>34</v>
      </c>
      <c r="KH4" s="12" t="s">
        <v>34</v>
      </c>
      <c r="KI4" s="12" t="s">
        <v>34</v>
      </c>
      <c r="KJ4" s="12" t="s">
        <v>34</v>
      </c>
      <c r="KK4" s="12" t="s">
        <v>34</v>
      </c>
      <c r="KL4" s="12" t="s">
        <v>34</v>
      </c>
      <c r="KM4" s="12" t="s">
        <v>34</v>
      </c>
      <c r="KN4" s="12" t="s">
        <v>34</v>
      </c>
      <c r="KO4" s="12" t="s">
        <v>34</v>
      </c>
      <c r="KP4" s="12" t="s">
        <v>34</v>
      </c>
      <c r="KQ4" s="12" t="s">
        <v>34</v>
      </c>
      <c r="KR4" s="12" t="s">
        <v>619</v>
      </c>
      <c r="KS4" s="12" t="s">
        <v>34</v>
      </c>
      <c r="KT4" s="12" t="s">
        <v>619</v>
      </c>
      <c r="KU4" s="12" t="s">
        <v>34</v>
      </c>
      <c r="KV4" s="12" t="s">
        <v>34</v>
      </c>
      <c r="KW4" s="12" t="s">
        <v>34</v>
      </c>
      <c r="KX4" s="12" t="s">
        <v>34</v>
      </c>
      <c r="KY4" s="12" t="s">
        <v>34</v>
      </c>
      <c r="KZ4" s="12" t="s">
        <v>34</v>
      </c>
      <c r="LA4" s="12" t="s">
        <v>34</v>
      </c>
      <c r="LB4" s="12" t="s">
        <v>34</v>
      </c>
      <c r="LC4" s="12" t="s">
        <v>34</v>
      </c>
      <c r="LD4" s="12" t="s">
        <v>34</v>
      </c>
      <c r="LE4" s="12" t="s">
        <v>34</v>
      </c>
      <c r="LF4" s="12" t="s">
        <v>619</v>
      </c>
      <c r="LG4" s="12" t="s">
        <v>34</v>
      </c>
      <c r="LH4" s="12" t="s">
        <v>34</v>
      </c>
      <c r="LI4" s="12" t="s">
        <v>34</v>
      </c>
      <c r="LJ4" s="12" t="s">
        <v>34</v>
      </c>
      <c r="LK4" s="12" t="s">
        <v>34</v>
      </c>
      <c r="LL4" s="13" t="s">
        <v>619</v>
      </c>
      <c r="LM4" s="13" t="s">
        <v>619</v>
      </c>
      <c r="LN4" s="13" t="s">
        <v>34</v>
      </c>
      <c r="LO4" s="13" t="s">
        <v>34</v>
      </c>
      <c r="LP4" s="90" t="s">
        <v>619</v>
      </c>
      <c r="LQ4" s="13" t="s">
        <v>619</v>
      </c>
      <c r="LR4" s="13" t="s">
        <v>34</v>
      </c>
      <c r="LS4" s="13"/>
      <c r="LT4" s="13" t="s">
        <v>34</v>
      </c>
      <c r="LU4" s="13" t="s">
        <v>34</v>
      </c>
      <c r="LV4" s="13" t="s">
        <v>619</v>
      </c>
      <c r="LW4" s="13" t="s">
        <v>619</v>
      </c>
      <c r="LX4" s="13" t="s">
        <v>34</v>
      </c>
      <c r="LY4" s="13" t="s">
        <v>34</v>
      </c>
      <c r="LZ4" s="13" t="s">
        <v>34</v>
      </c>
      <c r="MA4" s="13" t="s">
        <v>619</v>
      </c>
      <c r="MB4" s="13" t="s">
        <v>619</v>
      </c>
      <c r="MC4" s="13" t="s">
        <v>34</v>
      </c>
      <c r="MD4" s="13" t="s">
        <v>619</v>
      </c>
      <c r="ME4" s="13" t="s">
        <v>34</v>
      </c>
      <c r="MF4" s="13" t="s">
        <v>34</v>
      </c>
      <c r="MG4" s="13" t="s">
        <v>34</v>
      </c>
      <c r="MH4" s="13" t="s">
        <v>34</v>
      </c>
      <c r="MI4" s="13" t="s">
        <v>34</v>
      </c>
      <c r="MJ4" s="13" t="s">
        <v>34</v>
      </c>
      <c r="MK4" s="13" t="s">
        <v>34</v>
      </c>
      <c r="ML4" s="13" t="s">
        <v>34</v>
      </c>
      <c r="MM4" s="13" t="s">
        <v>34</v>
      </c>
      <c r="MN4" s="13" t="s">
        <v>34</v>
      </c>
      <c r="MO4" s="13" t="s">
        <v>619</v>
      </c>
      <c r="MP4" s="13" t="s">
        <v>34</v>
      </c>
      <c r="MQ4" s="13" t="s">
        <v>619</v>
      </c>
      <c r="MR4" s="13" t="s">
        <v>34</v>
      </c>
      <c r="MS4" s="13" t="s">
        <v>34</v>
      </c>
      <c r="MT4" s="13" t="s">
        <v>34</v>
      </c>
      <c r="MU4" s="13" t="s">
        <v>619</v>
      </c>
      <c r="MV4" s="13" t="s">
        <v>34</v>
      </c>
      <c r="MW4" s="13" t="s">
        <v>34</v>
      </c>
      <c r="MX4" s="13" t="s">
        <v>34</v>
      </c>
      <c r="MY4" s="28" t="s">
        <v>296</v>
      </c>
      <c r="MZ4" s="28" t="s">
        <v>296</v>
      </c>
      <c r="NA4" s="28" t="s">
        <v>296</v>
      </c>
      <c r="NB4" s="28" t="s">
        <v>297</v>
      </c>
      <c r="NC4" s="28" t="s">
        <v>296</v>
      </c>
      <c r="ND4" s="28" t="s">
        <v>297</v>
      </c>
      <c r="NE4" s="28" t="s">
        <v>296</v>
      </c>
      <c r="NF4" s="28" t="s">
        <v>297</v>
      </c>
      <c r="NG4" s="28" t="s">
        <v>297</v>
      </c>
      <c r="NH4" s="28" t="s">
        <v>297</v>
      </c>
      <c r="NI4" s="177" t="s">
        <v>296</v>
      </c>
      <c r="NJ4" s="177" t="s">
        <v>297</v>
      </c>
      <c r="NK4" s="177" t="s">
        <v>296</v>
      </c>
      <c r="NL4" s="177" t="s">
        <v>297</v>
      </c>
      <c r="NM4" s="177" t="s">
        <v>296</v>
      </c>
      <c r="NN4" s="177" t="s">
        <v>296</v>
      </c>
      <c r="NO4" s="177" t="s">
        <v>296</v>
      </c>
      <c r="NP4" s="177" t="s">
        <v>296</v>
      </c>
      <c r="NQ4" s="177" t="s">
        <v>296</v>
      </c>
      <c r="NR4" s="12" t="s">
        <v>34</v>
      </c>
      <c r="NS4" s="13" t="s">
        <v>34</v>
      </c>
    </row>
    <row r="5" spans="1:383" x14ac:dyDescent="0.25">
      <c r="A5" s="8" t="s">
        <v>40</v>
      </c>
      <c r="B5" s="9" t="s">
        <v>41</v>
      </c>
      <c r="C5" s="9">
        <v>93</v>
      </c>
      <c r="D5" s="9" t="s">
        <v>42</v>
      </c>
      <c r="E5" s="10">
        <v>34</v>
      </c>
      <c r="F5" s="10">
        <v>35</v>
      </c>
      <c r="G5" s="10">
        <v>34</v>
      </c>
      <c r="H5" s="10">
        <v>36</v>
      </c>
      <c r="I5" s="10">
        <v>29</v>
      </c>
      <c r="J5" s="11">
        <v>178</v>
      </c>
      <c r="K5" s="11">
        <v>180</v>
      </c>
      <c r="L5" s="11">
        <v>170</v>
      </c>
      <c r="M5" s="11">
        <v>196</v>
      </c>
      <c r="N5" s="11">
        <v>101</v>
      </c>
      <c r="O5" s="13">
        <v>1594</v>
      </c>
      <c r="P5" s="13">
        <v>1511</v>
      </c>
      <c r="Q5" s="13">
        <v>1640</v>
      </c>
      <c r="R5" s="13">
        <v>1563</v>
      </c>
      <c r="S5" s="13">
        <v>1145</v>
      </c>
      <c r="T5" s="12">
        <v>426</v>
      </c>
      <c r="U5" s="12">
        <v>352</v>
      </c>
      <c r="V5" s="12">
        <v>333</v>
      </c>
      <c r="W5" s="12">
        <v>322</v>
      </c>
      <c r="X5" s="12">
        <v>172</v>
      </c>
      <c r="Y5" s="12">
        <v>5</v>
      </c>
      <c r="Z5" s="12">
        <v>5</v>
      </c>
      <c r="AA5" s="12">
        <v>5</v>
      </c>
      <c r="AB5" s="13">
        <v>4.7</v>
      </c>
      <c r="AC5" s="13">
        <v>4.7</v>
      </c>
      <c r="AD5" s="13">
        <v>4.7</v>
      </c>
      <c r="AE5" s="35" t="s">
        <v>319</v>
      </c>
      <c r="AF5" s="35" t="s">
        <v>259</v>
      </c>
      <c r="AG5" s="35" t="s">
        <v>259</v>
      </c>
      <c r="AH5" s="39" t="s">
        <v>319</v>
      </c>
      <c r="AI5" s="39">
        <v>0.75</v>
      </c>
      <c r="AJ5" s="39">
        <v>1</v>
      </c>
      <c r="AK5" s="45" t="s">
        <v>288</v>
      </c>
      <c r="AL5" s="45" t="s">
        <v>34</v>
      </c>
      <c r="AM5" s="45" t="s">
        <v>34</v>
      </c>
      <c r="AN5" s="45" t="s">
        <v>34</v>
      </c>
      <c r="AO5" s="45" t="s">
        <v>34</v>
      </c>
      <c r="AP5" s="45" t="s">
        <v>292</v>
      </c>
      <c r="AQ5" s="53" t="s">
        <v>297</v>
      </c>
      <c r="AR5" s="56">
        <v>104</v>
      </c>
      <c r="AS5" s="57">
        <v>5</v>
      </c>
      <c r="AT5" s="56">
        <v>0</v>
      </c>
      <c r="AU5" s="57">
        <v>9120</v>
      </c>
      <c r="AV5" s="57">
        <v>136</v>
      </c>
      <c r="AW5" s="57">
        <v>0</v>
      </c>
      <c r="AX5" s="57">
        <v>43</v>
      </c>
      <c r="AY5" s="57">
        <v>5</v>
      </c>
      <c r="AZ5" s="57">
        <v>0</v>
      </c>
      <c r="BA5" s="57">
        <v>1773</v>
      </c>
      <c r="BB5" s="57">
        <v>4241</v>
      </c>
      <c r="BC5" s="57">
        <v>6007</v>
      </c>
      <c r="BD5" s="57">
        <v>0</v>
      </c>
      <c r="BE5" s="57">
        <v>28</v>
      </c>
      <c r="BF5" s="57">
        <v>28</v>
      </c>
      <c r="BG5" s="57">
        <v>0</v>
      </c>
      <c r="BH5" s="57">
        <v>0</v>
      </c>
      <c r="BI5" s="57">
        <v>0</v>
      </c>
      <c r="BJ5" s="57" t="s">
        <v>297</v>
      </c>
      <c r="BK5" s="57">
        <v>10</v>
      </c>
      <c r="BL5" s="57">
        <v>1</v>
      </c>
      <c r="BM5" s="57">
        <v>2</v>
      </c>
      <c r="BN5" s="57">
        <v>150</v>
      </c>
      <c r="BO5" s="57">
        <v>180</v>
      </c>
      <c r="BP5" s="57">
        <v>0</v>
      </c>
      <c r="BQ5" s="76">
        <v>157</v>
      </c>
      <c r="BR5" s="76">
        <v>157</v>
      </c>
      <c r="BS5">
        <v>157</v>
      </c>
      <c r="BT5">
        <v>157</v>
      </c>
      <c r="BU5">
        <v>157</v>
      </c>
      <c r="BV5">
        <v>13846</v>
      </c>
      <c r="BW5">
        <v>13673</v>
      </c>
      <c r="BX5">
        <v>13515</v>
      </c>
      <c r="BY5">
        <v>13288</v>
      </c>
      <c r="BZ5">
        <v>13210</v>
      </c>
      <c r="CA5">
        <v>34</v>
      </c>
      <c r="CB5">
        <v>33</v>
      </c>
      <c r="CC5" t="s">
        <v>350</v>
      </c>
      <c r="CD5">
        <v>34</v>
      </c>
      <c r="CE5">
        <v>29</v>
      </c>
      <c r="CF5">
        <v>2020</v>
      </c>
      <c r="CG5">
        <v>1863</v>
      </c>
      <c r="CH5">
        <v>1973</v>
      </c>
      <c r="CI5">
        <v>1885</v>
      </c>
      <c r="CJ5">
        <v>1317</v>
      </c>
      <c r="CK5" s="10">
        <v>39.5</v>
      </c>
      <c r="CL5" s="10">
        <v>39.5</v>
      </c>
      <c r="CM5" s="10">
        <v>39.5</v>
      </c>
      <c r="CN5" s="11">
        <v>13.95</v>
      </c>
      <c r="CO5" s="11">
        <v>13.95</v>
      </c>
      <c r="CP5" s="11">
        <v>13.95</v>
      </c>
      <c r="CQ5" s="13">
        <v>23</v>
      </c>
      <c r="CR5" s="13">
        <v>13</v>
      </c>
      <c r="CS5" s="13">
        <v>2</v>
      </c>
      <c r="CT5" s="10">
        <v>5</v>
      </c>
      <c r="CU5" s="10">
        <v>2</v>
      </c>
      <c r="CV5" s="10">
        <v>23</v>
      </c>
      <c r="CW5" s="10">
        <v>18</v>
      </c>
      <c r="CX5" s="10">
        <v>9</v>
      </c>
      <c r="CY5" s="10">
        <v>1</v>
      </c>
      <c r="CZ5" s="10">
        <v>7</v>
      </c>
      <c r="DA5" s="10">
        <v>8</v>
      </c>
      <c r="DB5" s="10">
        <v>3</v>
      </c>
      <c r="DC5" s="10">
        <v>0</v>
      </c>
      <c r="DD5" s="10">
        <v>0</v>
      </c>
      <c r="DE5" s="10">
        <v>1</v>
      </c>
      <c r="DF5" s="10">
        <v>0</v>
      </c>
      <c r="DG5" s="10">
        <v>1</v>
      </c>
      <c r="DH5" s="10">
        <v>1</v>
      </c>
      <c r="DI5" s="81">
        <v>1</v>
      </c>
      <c r="DJ5" s="81">
        <v>1</v>
      </c>
      <c r="DK5" s="81">
        <v>7</v>
      </c>
      <c r="DL5" s="81">
        <v>0</v>
      </c>
      <c r="DM5" s="81">
        <v>0</v>
      </c>
      <c r="DN5" s="12">
        <v>0</v>
      </c>
      <c r="DO5" s="12">
        <v>5</v>
      </c>
      <c r="DP5" s="12">
        <v>15</v>
      </c>
      <c r="DQ5" s="12">
        <v>0</v>
      </c>
      <c r="DR5" s="12">
        <v>3</v>
      </c>
      <c r="DS5" s="12">
        <v>0</v>
      </c>
      <c r="DT5" s="12">
        <v>2</v>
      </c>
      <c r="DU5" s="12">
        <v>1</v>
      </c>
      <c r="DV5" s="12">
        <v>4</v>
      </c>
      <c r="DW5" s="12">
        <v>11</v>
      </c>
      <c r="DX5" s="12">
        <v>8</v>
      </c>
      <c r="DY5" s="12">
        <v>14</v>
      </c>
      <c r="DZ5" s="12">
        <v>7</v>
      </c>
      <c r="EA5" s="12">
        <v>2</v>
      </c>
      <c r="EB5" s="12">
        <v>23</v>
      </c>
      <c r="EC5" s="12">
        <v>2</v>
      </c>
      <c r="ED5" s="12">
        <v>6</v>
      </c>
      <c r="EE5" s="12">
        <v>3</v>
      </c>
      <c r="EF5" s="12">
        <v>2</v>
      </c>
      <c r="EG5" s="12">
        <v>0</v>
      </c>
      <c r="EH5" s="12">
        <v>1</v>
      </c>
      <c r="EI5" s="12">
        <v>0</v>
      </c>
      <c r="EJ5" s="12">
        <v>8</v>
      </c>
      <c r="EK5" s="12">
        <v>0</v>
      </c>
      <c r="EL5" s="12">
        <v>14</v>
      </c>
      <c r="EM5" s="12">
        <v>4</v>
      </c>
      <c r="EN5" s="12">
        <v>10</v>
      </c>
      <c r="EO5" s="12">
        <v>6</v>
      </c>
      <c r="EP5" s="12">
        <v>1</v>
      </c>
      <c r="EQ5" s="12">
        <v>12</v>
      </c>
      <c r="ER5" s="12">
        <v>1</v>
      </c>
      <c r="ES5" s="13">
        <v>1</v>
      </c>
      <c r="ET5" s="13">
        <v>0</v>
      </c>
      <c r="EU5" s="13">
        <v>0</v>
      </c>
      <c r="EV5" s="10">
        <v>0</v>
      </c>
      <c r="EW5" s="10">
        <v>0</v>
      </c>
      <c r="EX5" s="10">
        <v>1</v>
      </c>
      <c r="EY5" s="10">
        <v>1</v>
      </c>
      <c r="EZ5" s="10">
        <v>0</v>
      </c>
      <c r="FA5" s="10">
        <v>0</v>
      </c>
      <c r="FB5" s="10">
        <v>0</v>
      </c>
      <c r="FC5" s="10">
        <v>0</v>
      </c>
      <c r="FD5" s="10">
        <v>0</v>
      </c>
      <c r="FE5" s="10">
        <v>0</v>
      </c>
      <c r="FF5" s="10">
        <v>0</v>
      </c>
      <c r="FG5" s="10">
        <v>0</v>
      </c>
      <c r="FH5" s="10">
        <v>0</v>
      </c>
      <c r="FI5" s="10">
        <v>0</v>
      </c>
      <c r="FJ5" s="10">
        <v>0</v>
      </c>
      <c r="FK5" s="81">
        <v>0</v>
      </c>
      <c r="FL5" s="81">
        <v>3</v>
      </c>
      <c r="FM5" s="81">
        <v>0</v>
      </c>
      <c r="FN5" s="81">
        <v>0</v>
      </c>
      <c r="FO5" s="81">
        <v>0</v>
      </c>
      <c r="FP5" s="12">
        <v>0</v>
      </c>
      <c r="FQ5" s="12">
        <v>0</v>
      </c>
      <c r="FR5" s="12">
        <v>0</v>
      </c>
      <c r="FS5" s="12">
        <v>0</v>
      </c>
      <c r="FT5" s="12">
        <v>0</v>
      </c>
      <c r="FU5" s="12">
        <v>0</v>
      </c>
      <c r="FV5" s="12">
        <v>0</v>
      </c>
      <c r="FW5" s="12">
        <v>0</v>
      </c>
      <c r="FX5" s="12">
        <v>1</v>
      </c>
      <c r="FY5" s="12">
        <v>0</v>
      </c>
      <c r="FZ5" s="12">
        <v>0</v>
      </c>
      <c r="GA5" s="12">
        <v>0</v>
      </c>
      <c r="GB5" s="12">
        <v>0</v>
      </c>
      <c r="GC5" s="12">
        <v>0</v>
      </c>
      <c r="GD5" s="12">
        <v>1</v>
      </c>
      <c r="GE5" s="12">
        <v>0</v>
      </c>
      <c r="GF5" s="12">
        <v>0</v>
      </c>
      <c r="GG5" s="12">
        <v>0</v>
      </c>
      <c r="GH5" s="12">
        <v>0</v>
      </c>
      <c r="GI5" s="12">
        <v>0</v>
      </c>
      <c r="GJ5" s="12">
        <v>0</v>
      </c>
      <c r="GK5" s="12">
        <v>0</v>
      </c>
      <c r="GL5" s="12">
        <v>0</v>
      </c>
      <c r="GM5" s="12">
        <v>0</v>
      </c>
      <c r="GN5" s="12">
        <v>0</v>
      </c>
      <c r="GO5" s="12">
        <v>0</v>
      </c>
      <c r="GP5" s="12">
        <v>0</v>
      </c>
      <c r="GQ5" s="12">
        <v>0</v>
      </c>
      <c r="GR5" s="12">
        <v>0</v>
      </c>
      <c r="GS5" s="12">
        <v>1</v>
      </c>
      <c r="GT5" s="12">
        <v>0</v>
      </c>
      <c r="GU5" s="13">
        <v>5</v>
      </c>
      <c r="GV5" s="13">
        <v>0</v>
      </c>
      <c r="GW5" s="13">
        <v>0</v>
      </c>
      <c r="GX5" s="13">
        <v>0</v>
      </c>
      <c r="GY5" s="10">
        <v>0</v>
      </c>
      <c r="GZ5" s="10">
        <v>0</v>
      </c>
      <c r="HA5" s="10">
        <v>0</v>
      </c>
      <c r="HB5" s="10">
        <v>0</v>
      </c>
      <c r="HC5" s="10">
        <v>0</v>
      </c>
      <c r="HD5" s="10">
        <v>0</v>
      </c>
      <c r="HE5" s="10">
        <v>0</v>
      </c>
      <c r="HF5" s="10">
        <v>0</v>
      </c>
      <c r="HG5" s="10">
        <v>0</v>
      </c>
      <c r="HH5" s="10">
        <v>0</v>
      </c>
      <c r="HI5" s="10">
        <v>0</v>
      </c>
      <c r="HJ5" s="10">
        <v>0</v>
      </c>
      <c r="HK5" s="10">
        <v>0</v>
      </c>
      <c r="HL5" s="10">
        <v>0</v>
      </c>
      <c r="HM5" s="10">
        <v>0</v>
      </c>
      <c r="HN5" s="81">
        <v>0</v>
      </c>
      <c r="HO5" s="81">
        <v>0</v>
      </c>
      <c r="HP5" s="81">
        <v>0</v>
      </c>
      <c r="HQ5" s="81">
        <v>0</v>
      </c>
      <c r="HR5" s="81">
        <v>0</v>
      </c>
      <c r="HS5" s="12">
        <v>0</v>
      </c>
      <c r="HT5" s="12">
        <v>0</v>
      </c>
      <c r="HU5" s="12">
        <v>0</v>
      </c>
      <c r="HV5" s="12">
        <v>0</v>
      </c>
      <c r="HW5" s="12">
        <v>0</v>
      </c>
      <c r="HX5" s="12">
        <v>0</v>
      </c>
      <c r="HY5" s="12">
        <v>0</v>
      </c>
      <c r="HZ5" s="12">
        <v>0</v>
      </c>
      <c r="IA5" s="12">
        <v>0</v>
      </c>
      <c r="IB5" s="12">
        <v>0</v>
      </c>
      <c r="IC5" s="12">
        <v>0</v>
      </c>
      <c r="ID5" s="12">
        <v>0</v>
      </c>
      <c r="IE5" s="12">
        <v>0</v>
      </c>
      <c r="IF5" s="12">
        <v>0</v>
      </c>
      <c r="IG5" s="12">
        <v>0</v>
      </c>
      <c r="IH5" s="12">
        <v>0</v>
      </c>
      <c r="II5" s="12">
        <v>0</v>
      </c>
      <c r="IJ5" s="12">
        <v>0</v>
      </c>
      <c r="IK5" s="12">
        <v>0</v>
      </c>
      <c r="IL5" s="12">
        <v>0</v>
      </c>
      <c r="IM5" s="12">
        <v>0</v>
      </c>
      <c r="IN5" s="12">
        <v>0</v>
      </c>
      <c r="IO5" s="12">
        <v>0</v>
      </c>
      <c r="IP5" s="12">
        <v>0</v>
      </c>
      <c r="IQ5" s="12">
        <v>0</v>
      </c>
      <c r="IR5" s="12">
        <v>0</v>
      </c>
      <c r="IS5" s="12">
        <v>0</v>
      </c>
      <c r="IT5" s="12">
        <v>0</v>
      </c>
      <c r="IU5" s="12">
        <v>0</v>
      </c>
      <c r="IV5" s="12">
        <v>0</v>
      </c>
      <c r="IW5" s="12">
        <v>0</v>
      </c>
      <c r="IX5" s="11" t="s">
        <v>350</v>
      </c>
      <c r="IY5" s="11">
        <v>0</v>
      </c>
      <c r="IZ5" s="11">
        <v>18000</v>
      </c>
      <c r="JA5" s="85" t="s">
        <v>361</v>
      </c>
      <c r="JB5" s="85">
        <v>1</v>
      </c>
      <c r="JC5" s="85">
        <v>0</v>
      </c>
      <c r="JD5" s="12" t="s">
        <v>350</v>
      </c>
      <c r="JE5" s="12" t="s">
        <v>350</v>
      </c>
      <c r="JF5" s="12">
        <v>4</v>
      </c>
      <c r="JG5" s="12">
        <v>2</v>
      </c>
      <c r="JH5" s="12">
        <v>4</v>
      </c>
      <c r="JI5" s="12">
        <v>4</v>
      </c>
      <c r="JJ5" s="13" t="s">
        <v>350</v>
      </c>
      <c r="JK5" s="13" t="s">
        <v>620</v>
      </c>
      <c r="JL5" s="13" t="s">
        <v>297</v>
      </c>
      <c r="JM5" s="89"/>
      <c r="JN5" s="89"/>
      <c r="JO5" s="89" t="s">
        <v>296</v>
      </c>
      <c r="JP5" s="89"/>
      <c r="JQ5" s="89"/>
      <c r="JR5" s="89" t="s">
        <v>296</v>
      </c>
      <c r="JS5" s="89" t="s">
        <v>350</v>
      </c>
      <c r="JT5" s="89" t="s">
        <v>620</v>
      </c>
      <c r="JU5" s="89" t="s">
        <v>297</v>
      </c>
      <c r="JV5" s="89"/>
      <c r="JW5" s="89"/>
      <c r="JX5" s="89" t="s">
        <v>297</v>
      </c>
      <c r="JY5" s="12" t="s">
        <v>34</v>
      </c>
      <c r="JZ5" s="12" t="s">
        <v>34</v>
      </c>
      <c r="KA5" s="12" t="s">
        <v>34</v>
      </c>
      <c r="KB5" s="12" t="s">
        <v>34</v>
      </c>
      <c r="KC5" s="12" t="s">
        <v>619</v>
      </c>
      <c r="KD5" s="12" t="s">
        <v>34</v>
      </c>
      <c r="KE5" s="12" t="s">
        <v>34</v>
      </c>
      <c r="KF5" s="12"/>
      <c r="KG5" s="12" t="s">
        <v>34</v>
      </c>
      <c r="KH5" s="12" t="s">
        <v>34</v>
      </c>
      <c r="KI5" s="12" t="s">
        <v>619</v>
      </c>
      <c r="KJ5" s="12" t="s">
        <v>619</v>
      </c>
      <c r="KK5" s="12" t="s">
        <v>34</v>
      </c>
      <c r="KL5" s="12" t="s">
        <v>34</v>
      </c>
      <c r="KM5" s="12" t="s">
        <v>34</v>
      </c>
      <c r="KN5" s="12" t="s">
        <v>619</v>
      </c>
      <c r="KO5" s="12" t="s">
        <v>619</v>
      </c>
      <c r="KP5" s="12" t="s">
        <v>34</v>
      </c>
      <c r="KQ5" s="12" t="s">
        <v>619</v>
      </c>
      <c r="KR5" s="12" t="s">
        <v>619</v>
      </c>
      <c r="KS5" s="12" t="s">
        <v>34</v>
      </c>
      <c r="KT5" s="12" t="s">
        <v>34</v>
      </c>
      <c r="KU5" s="12" t="s">
        <v>34</v>
      </c>
      <c r="KV5" s="12" t="s">
        <v>34</v>
      </c>
      <c r="KW5" s="12" t="s">
        <v>34</v>
      </c>
      <c r="KX5" s="12" t="s">
        <v>34</v>
      </c>
      <c r="KY5" s="12" t="s">
        <v>34</v>
      </c>
      <c r="KZ5" s="12" t="s">
        <v>34</v>
      </c>
      <c r="LA5" s="12" t="s">
        <v>34</v>
      </c>
      <c r="LB5" s="12" t="s">
        <v>619</v>
      </c>
      <c r="LC5" s="12" t="s">
        <v>619</v>
      </c>
      <c r="LD5" s="12" t="s">
        <v>619</v>
      </c>
      <c r="LE5" s="12" t="s">
        <v>619</v>
      </c>
      <c r="LF5" s="12" t="s">
        <v>34</v>
      </c>
      <c r="LG5" s="12" t="s">
        <v>34</v>
      </c>
      <c r="LH5" s="12" t="s">
        <v>34</v>
      </c>
      <c r="LI5" s="12" t="s">
        <v>619</v>
      </c>
      <c r="LJ5" s="12" t="s">
        <v>619</v>
      </c>
      <c r="LK5" s="12" t="s">
        <v>34</v>
      </c>
      <c r="LL5" s="13" t="s">
        <v>619</v>
      </c>
      <c r="LM5" s="13" t="s">
        <v>34</v>
      </c>
      <c r="LN5" s="13" t="s">
        <v>34</v>
      </c>
      <c r="LO5" s="13" t="s">
        <v>34</v>
      </c>
      <c r="LP5" s="90" t="s">
        <v>619</v>
      </c>
      <c r="LQ5" s="13" t="s">
        <v>619</v>
      </c>
      <c r="LR5" s="13" t="s">
        <v>34</v>
      </c>
      <c r="LS5" s="13"/>
      <c r="LT5" s="13" t="s">
        <v>34</v>
      </c>
      <c r="LU5" s="13" t="s">
        <v>34</v>
      </c>
      <c r="LV5" s="13" t="s">
        <v>34</v>
      </c>
      <c r="LW5" s="13" t="s">
        <v>34</v>
      </c>
      <c r="LX5" s="13" t="s">
        <v>34</v>
      </c>
      <c r="LY5" s="13" t="s">
        <v>34</v>
      </c>
      <c r="LZ5" s="13" t="s">
        <v>34</v>
      </c>
      <c r="MA5" s="13" t="s">
        <v>619</v>
      </c>
      <c r="MB5" s="13" t="s">
        <v>619</v>
      </c>
      <c r="MC5" s="13" t="s">
        <v>34</v>
      </c>
      <c r="MD5" s="13" t="s">
        <v>619</v>
      </c>
      <c r="ME5" s="13" t="s">
        <v>619</v>
      </c>
      <c r="MF5" s="13" t="s">
        <v>34</v>
      </c>
      <c r="MG5" s="13" t="s">
        <v>34</v>
      </c>
      <c r="MH5" s="13" t="s">
        <v>34</v>
      </c>
      <c r="MI5" s="13" t="s">
        <v>34</v>
      </c>
      <c r="MJ5" s="13" t="s">
        <v>34</v>
      </c>
      <c r="MK5" s="13" t="s">
        <v>34</v>
      </c>
      <c r="ML5" s="13" t="s">
        <v>34</v>
      </c>
      <c r="MM5" s="13" t="s">
        <v>34</v>
      </c>
      <c r="MN5" s="13" t="s">
        <v>34</v>
      </c>
      <c r="MO5" s="13" t="s">
        <v>619</v>
      </c>
      <c r="MP5" s="13" t="s">
        <v>619</v>
      </c>
      <c r="MQ5" s="13" t="s">
        <v>619</v>
      </c>
      <c r="MR5" s="13" t="s">
        <v>619</v>
      </c>
      <c r="MS5" s="13" t="s">
        <v>34</v>
      </c>
      <c r="MT5" s="13" t="s">
        <v>34</v>
      </c>
      <c r="MU5" s="13" t="s">
        <v>34</v>
      </c>
      <c r="MV5" s="13" t="s">
        <v>619</v>
      </c>
      <c r="MW5" s="13" t="s">
        <v>619</v>
      </c>
      <c r="MX5" s="13" t="s">
        <v>34</v>
      </c>
      <c r="MY5" s="28" t="s">
        <v>296</v>
      </c>
      <c r="MZ5" s="28" t="s">
        <v>297</v>
      </c>
      <c r="NA5" s="28" t="s">
        <v>296</v>
      </c>
      <c r="NB5" s="28" t="s">
        <v>296</v>
      </c>
      <c r="NC5" s="28" t="s">
        <v>296</v>
      </c>
      <c r="ND5" s="28" t="s">
        <v>297</v>
      </c>
      <c r="NE5" s="28" t="s">
        <v>296</v>
      </c>
      <c r="NF5" s="28" t="s">
        <v>297</v>
      </c>
      <c r="NG5" s="28" t="s">
        <v>297</v>
      </c>
      <c r="NH5" s="28" t="s">
        <v>297</v>
      </c>
      <c r="NI5" s="177" t="s">
        <v>296</v>
      </c>
      <c r="NJ5" s="177" t="s">
        <v>297</v>
      </c>
      <c r="NK5" s="177" t="s">
        <v>297</v>
      </c>
      <c r="NL5" s="177" t="s">
        <v>297</v>
      </c>
      <c r="NM5" s="177" t="s">
        <v>296</v>
      </c>
      <c r="NN5" s="177" t="s">
        <v>296</v>
      </c>
      <c r="NO5" s="177" t="s">
        <v>296</v>
      </c>
      <c r="NP5" s="177" t="s">
        <v>296</v>
      </c>
      <c r="NQ5" s="177" t="s">
        <v>296</v>
      </c>
      <c r="NR5" s="12" t="s">
        <v>34</v>
      </c>
      <c r="NS5" s="13" t="s">
        <v>34</v>
      </c>
    </row>
    <row r="6" spans="1:383" x14ac:dyDescent="0.25">
      <c r="A6" s="8" t="s">
        <v>43</v>
      </c>
      <c r="B6" s="9" t="s">
        <v>44</v>
      </c>
      <c r="C6" s="9">
        <v>93</v>
      </c>
      <c r="D6" s="9" t="s">
        <v>42</v>
      </c>
      <c r="E6" s="10">
        <v>31</v>
      </c>
      <c r="F6" s="10">
        <v>27</v>
      </c>
      <c r="G6" s="10">
        <v>22</v>
      </c>
      <c r="H6" s="10">
        <v>23</v>
      </c>
      <c r="I6" s="10">
        <v>19</v>
      </c>
      <c r="J6" s="11">
        <v>201</v>
      </c>
      <c r="K6" s="11">
        <v>154</v>
      </c>
      <c r="L6" s="11">
        <v>161</v>
      </c>
      <c r="M6" s="11">
        <v>138</v>
      </c>
      <c r="N6" s="11">
        <v>108</v>
      </c>
      <c r="O6" s="13">
        <v>2414</v>
      </c>
      <c r="P6" s="13">
        <v>2076</v>
      </c>
      <c r="Q6" s="13">
        <v>2032</v>
      </c>
      <c r="R6" s="13">
        <v>1939</v>
      </c>
      <c r="S6" s="13">
        <v>1353</v>
      </c>
      <c r="T6" s="12">
        <v>350</v>
      </c>
      <c r="U6" s="12">
        <v>251</v>
      </c>
      <c r="V6" s="12">
        <v>177</v>
      </c>
      <c r="W6" s="12">
        <v>302</v>
      </c>
      <c r="X6" s="12">
        <v>278</v>
      </c>
      <c r="Y6" s="12">
        <v>6.4</v>
      </c>
      <c r="Z6" s="12">
        <v>6.42</v>
      </c>
      <c r="AA6" s="12">
        <v>6.42</v>
      </c>
      <c r="AB6" s="13">
        <v>6</v>
      </c>
      <c r="AC6" s="13">
        <v>6.02</v>
      </c>
      <c r="AD6" s="13">
        <v>6.02</v>
      </c>
      <c r="AE6" s="35" t="s">
        <v>259</v>
      </c>
      <c r="AF6" s="35" t="s">
        <v>259</v>
      </c>
      <c r="AG6" s="35" t="s">
        <v>259</v>
      </c>
      <c r="AH6" s="38">
        <v>0.75</v>
      </c>
      <c r="AI6" s="38">
        <v>0.75</v>
      </c>
      <c r="AJ6" s="38">
        <v>0.6</v>
      </c>
      <c r="AK6" s="45" t="s">
        <v>34</v>
      </c>
      <c r="AL6" s="45" t="s">
        <v>34</v>
      </c>
      <c r="AM6" s="45" t="s">
        <v>34</v>
      </c>
      <c r="AN6" s="45" t="s">
        <v>34</v>
      </c>
      <c r="AO6" s="45" t="s">
        <v>34</v>
      </c>
      <c r="AP6" s="45" t="s">
        <v>34</v>
      </c>
      <c r="AQ6" s="53" t="s">
        <v>297</v>
      </c>
      <c r="AR6" s="56">
        <v>51</v>
      </c>
      <c r="AS6" s="57">
        <v>9</v>
      </c>
      <c r="AT6" s="56">
        <v>16</v>
      </c>
      <c r="AU6" s="57">
        <v>4338</v>
      </c>
      <c r="AV6" s="57">
        <v>890</v>
      </c>
      <c r="AW6" s="57">
        <v>1074</v>
      </c>
      <c r="AX6" s="57">
        <v>11</v>
      </c>
      <c r="AY6" s="57">
        <v>1</v>
      </c>
      <c r="AZ6" s="57">
        <v>0</v>
      </c>
      <c r="BA6" s="57">
        <v>611</v>
      </c>
      <c r="BB6" s="57">
        <v>1302</v>
      </c>
      <c r="BC6" s="57">
        <v>1858</v>
      </c>
      <c r="BD6" s="57">
        <v>0</v>
      </c>
      <c r="BE6" s="57">
        <v>250</v>
      </c>
      <c r="BF6" s="57">
        <v>285</v>
      </c>
      <c r="BG6" s="57">
        <v>170</v>
      </c>
      <c r="BH6" s="57">
        <v>521</v>
      </c>
      <c r="BI6" s="57">
        <v>398</v>
      </c>
      <c r="BJ6" s="57" t="s">
        <v>297</v>
      </c>
      <c r="BK6" s="57">
        <v>0</v>
      </c>
      <c r="BL6" s="57">
        <v>0</v>
      </c>
      <c r="BM6" s="57">
        <v>0</v>
      </c>
      <c r="BN6" s="57">
        <v>60</v>
      </c>
      <c r="BO6" s="57">
        <v>60</v>
      </c>
      <c r="BP6" s="57">
        <v>190</v>
      </c>
      <c r="BQ6" s="76">
        <v>141</v>
      </c>
      <c r="BR6" s="76">
        <v>139</v>
      </c>
      <c r="BS6">
        <v>133</v>
      </c>
      <c r="BT6">
        <v>133</v>
      </c>
      <c r="BU6">
        <v>133</v>
      </c>
      <c r="BV6">
        <v>11286</v>
      </c>
      <c r="BW6">
        <v>11207</v>
      </c>
      <c r="BX6">
        <v>11148</v>
      </c>
      <c r="BY6">
        <v>11067</v>
      </c>
      <c r="BZ6">
        <v>10879</v>
      </c>
      <c r="CA6">
        <v>51</v>
      </c>
      <c r="CB6">
        <v>43</v>
      </c>
      <c r="CC6">
        <v>34</v>
      </c>
      <c r="CD6">
        <v>46</v>
      </c>
      <c r="CE6">
        <v>19</v>
      </c>
      <c r="CF6">
        <v>2764</v>
      </c>
      <c r="CG6">
        <v>2327</v>
      </c>
      <c r="CH6">
        <v>2209</v>
      </c>
      <c r="CI6">
        <v>2241</v>
      </c>
      <c r="CJ6">
        <v>1631</v>
      </c>
      <c r="CK6" s="10">
        <v>40</v>
      </c>
      <c r="CL6" s="10">
        <v>40.1</v>
      </c>
      <c r="CM6" s="10">
        <v>40.1</v>
      </c>
      <c r="CN6" s="11">
        <v>16.8</v>
      </c>
      <c r="CO6" s="11">
        <v>16.8</v>
      </c>
      <c r="CP6" s="11">
        <v>16.8</v>
      </c>
      <c r="CQ6" s="13">
        <v>9</v>
      </c>
      <c r="CR6" s="13">
        <v>11</v>
      </c>
      <c r="CS6" s="13">
        <v>1</v>
      </c>
      <c r="CT6" s="10">
        <v>0</v>
      </c>
      <c r="CU6" s="10">
        <v>0</v>
      </c>
      <c r="CV6" s="10">
        <v>4</v>
      </c>
      <c r="CW6" s="10">
        <v>8</v>
      </c>
      <c r="CX6" s="10">
        <v>2</v>
      </c>
      <c r="CY6" s="10">
        <v>0</v>
      </c>
      <c r="CZ6" s="10">
        <v>1</v>
      </c>
      <c r="DA6" s="10">
        <v>8</v>
      </c>
      <c r="DB6" s="10">
        <v>0</v>
      </c>
      <c r="DC6" s="10">
        <v>0</v>
      </c>
      <c r="DD6" s="10">
        <v>0</v>
      </c>
      <c r="DE6" s="10">
        <v>0</v>
      </c>
      <c r="DF6" s="10">
        <v>4</v>
      </c>
      <c r="DG6" s="10">
        <v>0</v>
      </c>
      <c r="DH6" s="10">
        <v>3</v>
      </c>
      <c r="DI6" s="81">
        <v>0</v>
      </c>
      <c r="DJ6" s="81">
        <v>0</v>
      </c>
      <c r="DK6" s="81">
        <v>3</v>
      </c>
      <c r="DL6" s="81">
        <v>0</v>
      </c>
      <c r="DM6" s="81">
        <v>1</v>
      </c>
      <c r="DN6" s="12">
        <v>0</v>
      </c>
      <c r="DO6" s="12">
        <v>0</v>
      </c>
      <c r="DP6" s="12">
        <v>0</v>
      </c>
      <c r="DQ6" s="12">
        <v>2</v>
      </c>
      <c r="DR6" s="12">
        <v>0</v>
      </c>
      <c r="DS6" s="12">
        <v>0</v>
      </c>
      <c r="DT6" s="12">
        <v>0</v>
      </c>
      <c r="DU6" s="12">
        <v>0</v>
      </c>
      <c r="DV6" s="12">
        <v>0</v>
      </c>
      <c r="DW6" s="12">
        <v>0</v>
      </c>
      <c r="DX6" s="12">
        <v>0</v>
      </c>
      <c r="DY6" s="12">
        <v>2</v>
      </c>
      <c r="DZ6" s="12">
        <v>0</v>
      </c>
      <c r="EA6" s="12">
        <v>0</v>
      </c>
      <c r="EB6" s="12">
        <v>1</v>
      </c>
      <c r="EC6" s="12">
        <v>0</v>
      </c>
      <c r="ED6" s="12">
        <v>7</v>
      </c>
      <c r="EE6" s="12">
        <v>3</v>
      </c>
      <c r="EF6" s="12">
        <v>0</v>
      </c>
      <c r="EG6" s="12">
        <v>0</v>
      </c>
      <c r="EH6" s="12">
        <v>0</v>
      </c>
      <c r="EI6" s="12">
        <v>0</v>
      </c>
      <c r="EJ6" s="12">
        <v>4</v>
      </c>
      <c r="EK6" s="12">
        <v>0</v>
      </c>
      <c r="EL6" s="12">
        <v>1</v>
      </c>
      <c r="EM6" s="12">
        <v>1</v>
      </c>
      <c r="EN6" s="12">
        <v>1</v>
      </c>
      <c r="EO6" s="12">
        <v>0</v>
      </c>
      <c r="EP6" s="12">
        <v>1</v>
      </c>
      <c r="EQ6" s="12">
        <v>0</v>
      </c>
      <c r="ER6" s="12">
        <v>0</v>
      </c>
      <c r="ES6" s="13">
        <v>1</v>
      </c>
      <c r="ET6" s="13">
        <v>1</v>
      </c>
      <c r="EU6" s="13">
        <v>1</v>
      </c>
      <c r="EV6" s="10">
        <v>0</v>
      </c>
      <c r="EW6" s="10">
        <v>0</v>
      </c>
      <c r="EX6" s="10">
        <v>1</v>
      </c>
      <c r="EY6" s="10">
        <v>1</v>
      </c>
      <c r="EZ6" s="10">
        <v>0</v>
      </c>
      <c r="FA6" s="10">
        <v>0</v>
      </c>
      <c r="FB6" s="10">
        <v>0</v>
      </c>
      <c r="FC6" s="10">
        <v>3</v>
      </c>
      <c r="FD6" s="10">
        <v>0</v>
      </c>
      <c r="FE6" s="10">
        <v>0</v>
      </c>
      <c r="FF6" s="10">
        <v>0</v>
      </c>
      <c r="FG6" s="10">
        <v>0</v>
      </c>
      <c r="FH6" s="10">
        <v>0</v>
      </c>
      <c r="FI6" s="10">
        <v>0</v>
      </c>
      <c r="FJ6" s="10">
        <v>0</v>
      </c>
      <c r="FK6" s="81">
        <v>0</v>
      </c>
      <c r="FL6" s="81">
        <v>0</v>
      </c>
      <c r="FM6" s="81">
        <v>0</v>
      </c>
      <c r="FN6" s="81">
        <v>0</v>
      </c>
      <c r="FO6" s="81">
        <v>0</v>
      </c>
      <c r="FP6" s="12">
        <v>0</v>
      </c>
      <c r="FQ6" s="12">
        <v>0</v>
      </c>
      <c r="FR6" s="12">
        <v>0</v>
      </c>
      <c r="FS6" s="12">
        <v>0</v>
      </c>
      <c r="FT6" s="12">
        <v>0</v>
      </c>
      <c r="FU6" s="12">
        <v>0</v>
      </c>
      <c r="FV6" s="12">
        <v>0</v>
      </c>
      <c r="FW6" s="12">
        <v>0</v>
      </c>
      <c r="FX6" s="12">
        <v>0</v>
      </c>
      <c r="FY6" s="12">
        <v>0</v>
      </c>
      <c r="FZ6" s="12">
        <v>0</v>
      </c>
      <c r="GA6" s="12">
        <v>0</v>
      </c>
      <c r="GB6" s="12">
        <v>0</v>
      </c>
      <c r="GC6" s="12">
        <v>0</v>
      </c>
      <c r="GD6" s="12">
        <v>0</v>
      </c>
      <c r="GE6" s="12">
        <v>0</v>
      </c>
      <c r="GF6" s="12">
        <v>1</v>
      </c>
      <c r="GG6" s="12">
        <v>0</v>
      </c>
      <c r="GH6" s="12">
        <v>0</v>
      </c>
      <c r="GI6" s="12">
        <v>0</v>
      </c>
      <c r="GJ6" s="12">
        <v>0</v>
      </c>
      <c r="GK6" s="12">
        <v>0</v>
      </c>
      <c r="GL6" s="12">
        <v>0</v>
      </c>
      <c r="GM6" s="12">
        <v>0</v>
      </c>
      <c r="GN6" s="12">
        <v>0</v>
      </c>
      <c r="GO6" s="12">
        <v>0</v>
      </c>
      <c r="GP6" s="12">
        <v>2</v>
      </c>
      <c r="GQ6" s="12">
        <v>0</v>
      </c>
      <c r="GR6" s="12">
        <v>0</v>
      </c>
      <c r="GS6" s="12">
        <v>0</v>
      </c>
      <c r="GT6" s="12">
        <v>0</v>
      </c>
      <c r="GU6" s="13">
        <v>9</v>
      </c>
      <c r="GV6" s="13">
        <v>2</v>
      </c>
      <c r="GW6" s="13">
        <v>1</v>
      </c>
      <c r="GX6" s="13">
        <v>0</v>
      </c>
      <c r="GY6" s="10">
        <v>0</v>
      </c>
      <c r="GZ6" s="10">
        <v>1</v>
      </c>
      <c r="HA6" s="10">
        <v>8</v>
      </c>
      <c r="HB6" s="10">
        <v>7</v>
      </c>
      <c r="HC6" s="10">
        <v>5</v>
      </c>
      <c r="HD6" s="10">
        <v>0</v>
      </c>
      <c r="HE6" s="10">
        <v>0</v>
      </c>
      <c r="HF6" s="10">
        <v>0</v>
      </c>
      <c r="HG6" s="10">
        <v>1</v>
      </c>
      <c r="HH6" s="10">
        <v>0</v>
      </c>
      <c r="HI6" s="10">
        <v>0</v>
      </c>
      <c r="HJ6" s="10">
        <v>0</v>
      </c>
      <c r="HK6" s="10">
        <v>0</v>
      </c>
      <c r="HL6" s="10">
        <v>0</v>
      </c>
      <c r="HM6" s="10">
        <v>0</v>
      </c>
      <c r="HN6" s="81">
        <v>0</v>
      </c>
      <c r="HO6" s="81">
        <v>0</v>
      </c>
      <c r="HP6" s="81">
        <v>3</v>
      </c>
      <c r="HQ6" s="81">
        <v>2</v>
      </c>
      <c r="HR6" s="81">
        <v>0</v>
      </c>
      <c r="HS6" s="12">
        <v>0</v>
      </c>
      <c r="HT6" s="12">
        <v>0</v>
      </c>
      <c r="HU6" s="12">
        <v>0</v>
      </c>
      <c r="HV6" s="12">
        <v>0</v>
      </c>
      <c r="HW6" s="12">
        <v>0</v>
      </c>
      <c r="HX6" s="12">
        <v>0</v>
      </c>
      <c r="HY6" s="12">
        <v>0</v>
      </c>
      <c r="HZ6" s="12">
        <v>0</v>
      </c>
      <c r="IA6" s="12">
        <v>0</v>
      </c>
      <c r="IB6" s="12">
        <v>0</v>
      </c>
      <c r="IC6" s="12">
        <v>0</v>
      </c>
      <c r="ID6" s="12">
        <v>0</v>
      </c>
      <c r="IE6" s="12">
        <v>0</v>
      </c>
      <c r="IF6" s="12">
        <v>0</v>
      </c>
      <c r="IG6" s="12">
        <v>0</v>
      </c>
      <c r="IH6" s="12">
        <v>0</v>
      </c>
      <c r="II6" s="12">
        <v>1</v>
      </c>
      <c r="IJ6" s="12">
        <v>0</v>
      </c>
      <c r="IK6" s="12">
        <v>0</v>
      </c>
      <c r="IL6" s="12">
        <v>0</v>
      </c>
      <c r="IM6" s="12">
        <v>0</v>
      </c>
      <c r="IN6" s="12">
        <v>0</v>
      </c>
      <c r="IO6" s="12">
        <v>1</v>
      </c>
      <c r="IP6" s="12">
        <v>0</v>
      </c>
      <c r="IQ6" s="12">
        <v>1</v>
      </c>
      <c r="IR6" s="12">
        <v>0</v>
      </c>
      <c r="IS6" s="12">
        <v>0</v>
      </c>
      <c r="IT6" s="12">
        <v>0</v>
      </c>
      <c r="IU6" s="12">
        <v>0</v>
      </c>
      <c r="IV6" s="12">
        <v>0</v>
      </c>
      <c r="IW6" s="12">
        <v>0</v>
      </c>
      <c r="IX6" s="11">
        <v>15300</v>
      </c>
      <c r="IY6" s="11">
        <v>18500</v>
      </c>
      <c r="IZ6" s="11">
        <v>15250</v>
      </c>
      <c r="JA6" s="85">
        <v>1</v>
      </c>
      <c r="JB6" s="85">
        <v>0</v>
      </c>
      <c r="JC6" s="85">
        <v>0</v>
      </c>
      <c r="JD6" s="12">
        <v>3</v>
      </c>
      <c r="JE6" s="12">
        <v>1</v>
      </c>
      <c r="JF6" s="12">
        <v>3</v>
      </c>
      <c r="JG6" s="12">
        <v>2</v>
      </c>
      <c r="JH6" s="12">
        <v>4</v>
      </c>
      <c r="JI6" s="12">
        <v>3</v>
      </c>
      <c r="JJ6" s="13" t="s">
        <v>619</v>
      </c>
      <c r="JK6" s="13" t="s">
        <v>620</v>
      </c>
      <c r="JL6" s="13" t="s">
        <v>296</v>
      </c>
      <c r="JM6" s="89"/>
      <c r="JN6" s="89"/>
      <c r="JO6" s="89" t="s">
        <v>296</v>
      </c>
      <c r="JP6" s="89"/>
      <c r="JQ6" s="89"/>
      <c r="JR6" s="89" t="s">
        <v>296</v>
      </c>
      <c r="JS6" s="89" t="s">
        <v>619</v>
      </c>
      <c r="JT6" s="89" t="s">
        <v>620</v>
      </c>
      <c r="JU6" s="89" t="s">
        <v>296</v>
      </c>
      <c r="JV6" s="89"/>
      <c r="JW6" s="89"/>
      <c r="JX6" s="89" t="s">
        <v>297</v>
      </c>
      <c r="JY6" s="12" t="s">
        <v>34</v>
      </c>
      <c r="JZ6" s="12" t="s">
        <v>34</v>
      </c>
      <c r="KA6" s="12" t="s">
        <v>34</v>
      </c>
      <c r="KB6" s="12" t="s">
        <v>34</v>
      </c>
      <c r="KC6" s="12" t="s">
        <v>34</v>
      </c>
      <c r="KD6" s="12" t="s">
        <v>34</v>
      </c>
      <c r="KE6" s="12" t="s">
        <v>34</v>
      </c>
      <c r="KF6" s="12"/>
      <c r="KG6" s="12" t="s">
        <v>619</v>
      </c>
      <c r="KH6" s="12" t="s">
        <v>34</v>
      </c>
      <c r="KI6" s="12" t="s">
        <v>34</v>
      </c>
      <c r="KJ6" s="12" t="s">
        <v>34</v>
      </c>
      <c r="KK6" s="12" t="s">
        <v>34</v>
      </c>
      <c r="KL6" s="12" t="s">
        <v>34</v>
      </c>
      <c r="KM6" s="12" t="s">
        <v>34</v>
      </c>
      <c r="KN6" s="12" t="s">
        <v>34</v>
      </c>
      <c r="KO6" s="12" t="s">
        <v>34</v>
      </c>
      <c r="KP6" s="12" t="s">
        <v>34</v>
      </c>
      <c r="KQ6" s="12" t="s">
        <v>34</v>
      </c>
      <c r="KR6" s="12" t="s">
        <v>34</v>
      </c>
      <c r="KS6" s="12" t="s">
        <v>619</v>
      </c>
      <c r="KT6" s="12" t="s">
        <v>34</v>
      </c>
      <c r="KU6" s="12" t="s">
        <v>34</v>
      </c>
      <c r="KV6" s="12" t="s">
        <v>34</v>
      </c>
      <c r="KW6" s="12" t="s">
        <v>34</v>
      </c>
      <c r="KX6" s="12" t="s">
        <v>34</v>
      </c>
      <c r="KY6" s="12" t="s">
        <v>34</v>
      </c>
      <c r="KZ6" s="12" t="s">
        <v>619</v>
      </c>
      <c r="LA6" s="12" t="s">
        <v>34</v>
      </c>
      <c r="LB6" s="12" t="s">
        <v>619</v>
      </c>
      <c r="LC6" s="12" t="s">
        <v>619</v>
      </c>
      <c r="LD6" s="12" t="s">
        <v>619</v>
      </c>
      <c r="LE6" s="12" t="s">
        <v>34</v>
      </c>
      <c r="LF6" s="12" t="s">
        <v>34</v>
      </c>
      <c r="LG6" s="12" t="s">
        <v>619</v>
      </c>
      <c r="LH6" s="12" t="s">
        <v>34</v>
      </c>
      <c r="LI6" s="12" t="s">
        <v>619</v>
      </c>
      <c r="LJ6" s="12" t="s">
        <v>34</v>
      </c>
      <c r="LK6" s="12" t="s">
        <v>34</v>
      </c>
      <c r="LL6" s="13" t="s">
        <v>619</v>
      </c>
      <c r="LM6" s="13" t="s">
        <v>34</v>
      </c>
      <c r="LN6" s="13" t="s">
        <v>34</v>
      </c>
      <c r="LO6" s="13" t="s">
        <v>34</v>
      </c>
      <c r="LP6" s="90" t="s">
        <v>34</v>
      </c>
      <c r="LQ6" s="13" t="s">
        <v>34</v>
      </c>
      <c r="LR6" s="13" t="s">
        <v>34</v>
      </c>
      <c r="LS6" s="13"/>
      <c r="LT6" s="13" t="s">
        <v>34</v>
      </c>
      <c r="LU6" s="13" t="s">
        <v>34</v>
      </c>
      <c r="LV6" s="13" t="s">
        <v>619</v>
      </c>
      <c r="LW6" s="13" t="s">
        <v>34</v>
      </c>
      <c r="LX6" s="13" t="s">
        <v>34</v>
      </c>
      <c r="LY6" s="13" t="s">
        <v>34</v>
      </c>
      <c r="LZ6" s="13" t="s">
        <v>619</v>
      </c>
      <c r="MA6" s="13" t="s">
        <v>619</v>
      </c>
      <c r="MB6" s="13" t="s">
        <v>619</v>
      </c>
      <c r="MC6" s="13" t="s">
        <v>34</v>
      </c>
      <c r="MD6" s="13" t="s">
        <v>619</v>
      </c>
      <c r="ME6" s="13" t="s">
        <v>34</v>
      </c>
      <c r="MF6" s="13" t="s">
        <v>619</v>
      </c>
      <c r="MG6" s="13" t="s">
        <v>34</v>
      </c>
      <c r="MH6" s="13" t="s">
        <v>34</v>
      </c>
      <c r="MI6" s="13" t="s">
        <v>34</v>
      </c>
      <c r="MJ6" s="13" t="s">
        <v>34</v>
      </c>
      <c r="MK6" s="13" t="s">
        <v>34</v>
      </c>
      <c r="ML6" s="13" t="s">
        <v>619</v>
      </c>
      <c r="MM6" s="13" t="s">
        <v>619</v>
      </c>
      <c r="MN6" s="13" t="s">
        <v>34</v>
      </c>
      <c r="MO6" s="13" t="s">
        <v>619</v>
      </c>
      <c r="MP6" s="13" t="s">
        <v>619</v>
      </c>
      <c r="MQ6" s="13" t="s">
        <v>619</v>
      </c>
      <c r="MR6" s="13" t="s">
        <v>34</v>
      </c>
      <c r="MS6" s="13" t="s">
        <v>34</v>
      </c>
      <c r="MT6" s="13" t="s">
        <v>34</v>
      </c>
      <c r="MU6" s="13" t="s">
        <v>34</v>
      </c>
      <c r="MV6" s="13" t="s">
        <v>619</v>
      </c>
      <c r="MW6" s="13" t="s">
        <v>34</v>
      </c>
      <c r="MX6" s="13" t="s">
        <v>34</v>
      </c>
      <c r="MY6" s="28" t="s">
        <v>296</v>
      </c>
      <c r="MZ6" s="28" t="s">
        <v>297</v>
      </c>
      <c r="NA6" s="28" t="s">
        <v>297</v>
      </c>
      <c r="NB6" s="28" t="s">
        <v>296</v>
      </c>
      <c r="NC6" s="28" t="s">
        <v>296</v>
      </c>
      <c r="ND6" s="28" t="s">
        <v>296</v>
      </c>
      <c r="NE6" s="28" t="s">
        <v>296</v>
      </c>
      <c r="NF6" s="28" t="s">
        <v>296</v>
      </c>
      <c r="NG6" s="28" t="s">
        <v>297</v>
      </c>
      <c r="NH6" s="28" t="s">
        <v>297</v>
      </c>
      <c r="NI6" s="177" t="s">
        <v>297</v>
      </c>
      <c r="NJ6" s="177" t="s">
        <v>297</v>
      </c>
      <c r="NK6" s="177" t="s">
        <v>296</v>
      </c>
      <c r="NL6" s="177" t="s">
        <v>297</v>
      </c>
      <c r="NM6" s="177" t="s">
        <v>296</v>
      </c>
      <c r="NN6" s="177" t="s">
        <v>296</v>
      </c>
      <c r="NO6" s="177" t="s">
        <v>296</v>
      </c>
      <c r="NP6" s="177" t="s">
        <v>296</v>
      </c>
      <c r="NQ6" s="177" t="s">
        <v>296</v>
      </c>
      <c r="NR6" s="12" t="s">
        <v>34</v>
      </c>
      <c r="NS6" s="13" t="s">
        <v>34</v>
      </c>
    </row>
    <row r="7" spans="1:383" x14ac:dyDescent="0.25">
      <c r="A7" s="8" t="s">
        <v>45</v>
      </c>
      <c r="B7" s="9" t="s">
        <v>46</v>
      </c>
      <c r="C7" s="9">
        <v>93</v>
      </c>
      <c r="D7" s="9" t="s">
        <v>42</v>
      </c>
      <c r="E7" s="10">
        <v>17</v>
      </c>
      <c r="F7" s="10">
        <v>20</v>
      </c>
      <c r="G7" s="10">
        <v>24</v>
      </c>
      <c r="H7" s="10">
        <v>13</v>
      </c>
      <c r="I7" s="10">
        <v>18</v>
      </c>
      <c r="J7" s="11">
        <v>38</v>
      </c>
      <c r="K7" s="11">
        <v>109</v>
      </c>
      <c r="L7" s="11">
        <v>98</v>
      </c>
      <c r="M7" s="11">
        <v>107</v>
      </c>
      <c r="N7" s="11">
        <v>65</v>
      </c>
      <c r="O7" s="13">
        <v>1018</v>
      </c>
      <c r="P7" s="13">
        <v>1180</v>
      </c>
      <c r="Q7" s="13">
        <v>637</v>
      </c>
      <c r="R7" s="13">
        <v>721</v>
      </c>
      <c r="S7" s="13">
        <v>1044</v>
      </c>
      <c r="T7" s="12">
        <v>81</v>
      </c>
      <c r="U7" s="12">
        <v>113</v>
      </c>
      <c r="V7" s="12">
        <v>202</v>
      </c>
      <c r="W7" s="12">
        <v>70</v>
      </c>
      <c r="X7" s="12">
        <v>159</v>
      </c>
      <c r="Y7" s="12">
        <v>5.52</v>
      </c>
      <c r="Z7" s="12">
        <v>5.54</v>
      </c>
      <c r="AA7" s="12">
        <v>5.54</v>
      </c>
      <c r="AB7" s="13">
        <v>5.18</v>
      </c>
      <c r="AC7" s="13">
        <v>5.2</v>
      </c>
      <c r="AD7" s="13">
        <v>5.2</v>
      </c>
      <c r="AE7" s="35" t="s">
        <v>259</v>
      </c>
      <c r="AF7" s="35" t="s">
        <v>259</v>
      </c>
      <c r="AG7" s="35" t="s">
        <v>258</v>
      </c>
      <c r="AH7" s="38">
        <v>0.25</v>
      </c>
      <c r="AI7" s="38">
        <v>0.25</v>
      </c>
      <c r="AJ7" s="38">
        <v>0.4</v>
      </c>
      <c r="AK7" s="45" t="s">
        <v>34</v>
      </c>
      <c r="AL7" s="45" t="s">
        <v>34</v>
      </c>
      <c r="AM7" s="45" t="s">
        <v>34</v>
      </c>
      <c r="AN7" s="45" t="s">
        <v>34</v>
      </c>
      <c r="AO7" s="45" t="s">
        <v>34</v>
      </c>
      <c r="AP7" s="45" t="s">
        <v>292</v>
      </c>
      <c r="AQ7" s="53" t="s">
        <v>296</v>
      </c>
      <c r="AR7" s="56">
        <v>0</v>
      </c>
      <c r="AS7" s="57">
        <v>1</v>
      </c>
      <c r="AT7" s="56">
        <v>0</v>
      </c>
      <c r="AU7" s="57">
        <v>0</v>
      </c>
      <c r="AV7" s="57">
        <v>164</v>
      </c>
      <c r="AW7" s="57">
        <v>0</v>
      </c>
      <c r="AX7" s="57">
        <v>0</v>
      </c>
      <c r="AY7" s="57">
        <v>0</v>
      </c>
      <c r="AZ7" s="57">
        <v>0</v>
      </c>
      <c r="BA7" s="57">
        <v>0</v>
      </c>
      <c r="BB7" s="57">
        <v>0</v>
      </c>
      <c r="BC7" s="57">
        <v>0</v>
      </c>
      <c r="BD7" s="57">
        <v>0</v>
      </c>
      <c r="BE7" s="57">
        <v>0</v>
      </c>
      <c r="BF7" s="57">
        <v>0</v>
      </c>
      <c r="BG7" s="57">
        <v>0</v>
      </c>
      <c r="BH7" s="57">
        <v>0</v>
      </c>
      <c r="BI7" s="57">
        <v>0</v>
      </c>
      <c r="BJ7" s="57" t="s">
        <v>296</v>
      </c>
      <c r="BK7" s="57">
        <v>0</v>
      </c>
      <c r="BL7" s="57">
        <v>0</v>
      </c>
      <c r="BM7" s="57">
        <v>0</v>
      </c>
      <c r="BN7" s="57">
        <v>0</v>
      </c>
      <c r="BO7" s="57">
        <v>0</v>
      </c>
      <c r="BP7" s="57">
        <v>0</v>
      </c>
      <c r="BQ7" s="76">
        <v>569</v>
      </c>
      <c r="BR7" s="76">
        <v>565</v>
      </c>
      <c r="BS7">
        <v>560</v>
      </c>
      <c r="BT7">
        <v>560</v>
      </c>
      <c r="BU7">
        <v>560</v>
      </c>
      <c r="BV7">
        <v>91668</v>
      </c>
      <c r="BW7">
        <v>91926</v>
      </c>
      <c r="BX7">
        <v>92137</v>
      </c>
      <c r="BY7">
        <v>91830</v>
      </c>
      <c r="BZ7">
        <v>91832</v>
      </c>
      <c r="CA7">
        <v>17</v>
      </c>
      <c r="CB7">
        <v>20</v>
      </c>
      <c r="CC7">
        <v>24</v>
      </c>
      <c r="CD7">
        <v>13</v>
      </c>
      <c r="CE7">
        <v>17</v>
      </c>
      <c r="CF7">
        <v>1099</v>
      </c>
      <c r="CG7">
        <v>1293</v>
      </c>
      <c r="CH7">
        <v>839</v>
      </c>
      <c r="CI7">
        <v>791</v>
      </c>
      <c r="CJ7">
        <v>1203</v>
      </c>
      <c r="CK7" s="10">
        <v>64</v>
      </c>
      <c r="CL7" s="10">
        <v>64.099999999999994</v>
      </c>
      <c r="CM7" s="10">
        <v>64.099999999999994</v>
      </c>
      <c r="CN7" s="11">
        <v>23.65</v>
      </c>
      <c r="CO7" s="11">
        <v>23.65</v>
      </c>
      <c r="CP7" s="11">
        <v>23.65</v>
      </c>
      <c r="CQ7" s="13">
        <v>0</v>
      </c>
      <c r="CR7" s="13">
        <v>0</v>
      </c>
      <c r="CS7" s="13">
        <v>0</v>
      </c>
      <c r="CT7" s="10">
        <v>0</v>
      </c>
      <c r="CU7" s="10">
        <v>0</v>
      </c>
      <c r="CV7" s="10">
        <v>0</v>
      </c>
      <c r="CW7" s="10">
        <v>0</v>
      </c>
      <c r="CX7" s="10">
        <v>0</v>
      </c>
      <c r="CY7" s="10">
        <v>0</v>
      </c>
      <c r="CZ7" s="10">
        <v>0</v>
      </c>
      <c r="DA7" s="10">
        <v>0</v>
      </c>
      <c r="DB7" s="10">
        <v>0</v>
      </c>
      <c r="DC7" s="10">
        <v>0</v>
      </c>
      <c r="DD7" s="10">
        <v>0</v>
      </c>
      <c r="DE7" s="10">
        <v>0</v>
      </c>
      <c r="DF7" s="10">
        <v>0</v>
      </c>
      <c r="DG7" s="10">
        <v>0</v>
      </c>
      <c r="DH7" s="10">
        <v>0</v>
      </c>
      <c r="DI7" s="81">
        <v>0</v>
      </c>
      <c r="DJ7" s="81">
        <v>0</v>
      </c>
      <c r="DK7" s="81">
        <v>0</v>
      </c>
      <c r="DL7" s="81">
        <v>0</v>
      </c>
      <c r="DM7" s="81">
        <v>0</v>
      </c>
      <c r="DN7" s="12">
        <v>0</v>
      </c>
      <c r="DO7" s="12">
        <v>0</v>
      </c>
      <c r="DP7" s="12">
        <v>0</v>
      </c>
      <c r="DQ7" s="12">
        <v>0</v>
      </c>
      <c r="DR7" s="12">
        <v>0</v>
      </c>
      <c r="DS7" s="12">
        <v>0</v>
      </c>
      <c r="DT7" s="12">
        <v>0</v>
      </c>
      <c r="DU7" s="12">
        <v>0</v>
      </c>
      <c r="DV7" s="12">
        <v>0</v>
      </c>
      <c r="DW7" s="12">
        <v>0</v>
      </c>
      <c r="DX7" s="12">
        <v>0</v>
      </c>
      <c r="DY7" s="12">
        <v>0</v>
      </c>
      <c r="DZ7" s="12">
        <v>0</v>
      </c>
      <c r="EA7" s="12">
        <v>0</v>
      </c>
      <c r="EB7" s="12">
        <v>0</v>
      </c>
      <c r="EC7" s="12">
        <v>0</v>
      </c>
      <c r="ED7" s="12">
        <v>0</v>
      </c>
      <c r="EE7" s="12">
        <v>0</v>
      </c>
      <c r="EF7" s="12">
        <v>0</v>
      </c>
      <c r="EG7" s="12">
        <v>0</v>
      </c>
      <c r="EH7" s="12">
        <v>0</v>
      </c>
      <c r="EI7" s="12">
        <v>0</v>
      </c>
      <c r="EJ7" s="12">
        <v>0</v>
      </c>
      <c r="EK7" s="12">
        <v>0</v>
      </c>
      <c r="EL7" s="12">
        <v>0</v>
      </c>
      <c r="EM7" s="12">
        <v>0</v>
      </c>
      <c r="EN7" s="12">
        <v>0</v>
      </c>
      <c r="EO7" s="12">
        <v>0</v>
      </c>
      <c r="EP7" s="12">
        <v>0</v>
      </c>
      <c r="EQ7" s="12">
        <v>0</v>
      </c>
      <c r="ER7" s="12">
        <v>0</v>
      </c>
      <c r="ES7" s="13">
        <v>1</v>
      </c>
      <c r="ET7" s="13">
        <v>0</v>
      </c>
      <c r="EU7" s="13">
        <v>0</v>
      </c>
      <c r="EV7" s="10">
        <v>0</v>
      </c>
      <c r="EW7" s="10">
        <v>0</v>
      </c>
      <c r="EX7" s="10">
        <v>0</v>
      </c>
      <c r="EY7" s="10">
        <v>0</v>
      </c>
      <c r="EZ7" s="10">
        <v>0</v>
      </c>
      <c r="FA7" s="10">
        <v>0</v>
      </c>
      <c r="FB7" s="10">
        <v>0</v>
      </c>
      <c r="FC7" s="10">
        <v>0</v>
      </c>
      <c r="FD7" s="10">
        <v>0</v>
      </c>
      <c r="FE7" s="10">
        <v>0</v>
      </c>
      <c r="FF7" s="10">
        <v>0</v>
      </c>
      <c r="FG7" s="10">
        <v>0</v>
      </c>
      <c r="FH7" s="10">
        <v>0</v>
      </c>
      <c r="FI7" s="10">
        <v>0</v>
      </c>
      <c r="FJ7" s="10">
        <v>0</v>
      </c>
      <c r="FK7" s="81">
        <v>0</v>
      </c>
      <c r="FL7" s="81">
        <v>0</v>
      </c>
      <c r="FM7" s="81">
        <v>0</v>
      </c>
      <c r="FN7" s="81">
        <v>0</v>
      </c>
      <c r="FO7" s="81">
        <v>0</v>
      </c>
      <c r="FP7" s="12">
        <v>0</v>
      </c>
      <c r="FQ7" s="12">
        <v>0</v>
      </c>
      <c r="FR7" s="12">
        <v>0</v>
      </c>
      <c r="FS7" s="12">
        <v>0</v>
      </c>
      <c r="FT7" s="12">
        <v>0</v>
      </c>
      <c r="FU7" s="12">
        <v>0</v>
      </c>
      <c r="FV7" s="12">
        <v>0</v>
      </c>
      <c r="FW7" s="12">
        <v>0</v>
      </c>
      <c r="FX7" s="12">
        <v>0</v>
      </c>
      <c r="FY7" s="12">
        <v>1</v>
      </c>
      <c r="FZ7" s="12">
        <v>1</v>
      </c>
      <c r="GA7" s="12">
        <v>1</v>
      </c>
      <c r="GB7" s="12">
        <v>1</v>
      </c>
      <c r="GC7" s="12">
        <v>0</v>
      </c>
      <c r="GD7" s="12">
        <v>1</v>
      </c>
      <c r="GE7" s="12">
        <v>0</v>
      </c>
      <c r="GF7" s="12">
        <v>0</v>
      </c>
      <c r="GG7" s="12">
        <v>0</v>
      </c>
      <c r="GH7" s="12">
        <v>0</v>
      </c>
      <c r="GI7" s="12">
        <v>0</v>
      </c>
      <c r="GJ7" s="12">
        <v>0</v>
      </c>
      <c r="GK7" s="12">
        <v>0</v>
      </c>
      <c r="GL7" s="12">
        <v>1</v>
      </c>
      <c r="GM7" s="12">
        <v>0</v>
      </c>
      <c r="GN7" s="12">
        <v>0</v>
      </c>
      <c r="GO7" s="12">
        <v>0</v>
      </c>
      <c r="GP7" s="12">
        <v>0</v>
      </c>
      <c r="GQ7" s="12">
        <v>1</v>
      </c>
      <c r="GR7" s="12">
        <v>0</v>
      </c>
      <c r="GS7" s="12">
        <v>1</v>
      </c>
      <c r="GT7" s="12">
        <v>0</v>
      </c>
      <c r="GU7" s="13">
        <v>1</v>
      </c>
      <c r="GV7" s="13">
        <v>0</v>
      </c>
      <c r="GW7" s="13">
        <v>0</v>
      </c>
      <c r="GX7" s="13">
        <v>0</v>
      </c>
      <c r="GY7" s="10">
        <v>0</v>
      </c>
      <c r="GZ7" s="10">
        <v>0</v>
      </c>
      <c r="HA7" s="10">
        <v>0</v>
      </c>
      <c r="HB7" s="10">
        <v>0</v>
      </c>
      <c r="HC7" s="10">
        <v>0</v>
      </c>
      <c r="HD7" s="10">
        <v>0</v>
      </c>
      <c r="HE7" s="10">
        <v>0</v>
      </c>
      <c r="HF7" s="10">
        <v>0</v>
      </c>
      <c r="HG7" s="10">
        <v>0</v>
      </c>
      <c r="HH7" s="10">
        <v>0</v>
      </c>
      <c r="HI7" s="10">
        <v>0</v>
      </c>
      <c r="HJ7" s="10">
        <v>0</v>
      </c>
      <c r="HK7" s="10">
        <v>0</v>
      </c>
      <c r="HL7" s="10">
        <v>0</v>
      </c>
      <c r="HM7" s="10">
        <v>0</v>
      </c>
      <c r="HN7" s="81">
        <v>0</v>
      </c>
      <c r="HO7" s="81">
        <v>0</v>
      </c>
      <c r="HP7" s="81">
        <v>0</v>
      </c>
      <c r="HQ7" s="81">
        <v>0</v>
      </c>
      <c r="HR7" s="81">
        <v>0</v>
      </c>
      <c r="HS7" s="12">
        <v>0</v>
      </c>
      <c r="HT7" s="12">
        <v>0</v>
      </c>
      <c r="HU7" s="12">
        <v>0</v>
      </c>
      <c r="HV7" s="12">
        <v>0</v>
      </c>
      <c r="HW7" s="12">
        <v>0</v>
      </c>
      <c r="HX7" s="12">
        <v>0</v>
      </c>
      <c r="HY7" s="12">
        <v>0</v>
      </c>
      <c r="HZ7" s="12">
        <v>0</v>
      </c>
      <c r="IA7" s="12">
        <v>0</v>
      </c>
      <c r="IB7" s="12">
        <v>0</v>
      </c>
      <c r="IC7" s="12">
        <v>0</v>
      </c>
      <c r="ID7" s="12">
        <v>0</v>
      </c>
      <c r="IE7" s="12">
        <v>0</v>
      </c>
      <c r="IF7" s="12">
        <v>0</v>
      </c>
      <c r="IG7" s="12">
        <v>0</v>
      </c>
      <c r="IH7" s="12">
        <v>0</v>
      </c>
      <c r="II7" s="12">
        <v>0</v>
      </c>
      <c r="IJ7" s="12">
        <v>0</v>
      </c>
      <c r="IK7" s="12">
        <v>0</v>
      </c>
      <c r="IL7" s="12">
        <v>0</v>
      </c>
      <c r="IM7" s="12">
        <v>0</v>
      </c>
      <c r="IN7" s="12">
        <v>0</v>
      </c>
      <c r="IO7" s="12">
        <v>0</v>
      </c>
      <c r="IP7" s="12">
        <v>0</v>
      </c>
      <c r="IQ7" s="12">
        <v>0</v>
      </c>
      <c r="IR7" s="12">
        <v>0</v>
      </c>
      <c r="IS7" s="12">
        <v>0</v>
      </c>
      <c r="IT7" s="12">
        <v>0</v>
      </c>
      <c r="IU7" s="12">
        <v>0</v>
      </c>
      <c r="IV7" s="12">
        <v>0</v>
      </c>
      <c r="IW7" s="12">
        <v>0</v>
      </c>
      <c r="IX7" s="11">
        <v>4000</v>
      </c>
      <c r="IY7" s="11">
        <v>1000</v>
      </c>
      <c r="IZ7" s="11">
        <v>1000</v>
      </c>
      <c r="JA7" s="85">
        <v>0</v>
      </c>
      <c r="JB7" s="85">
        <v>0</v>
      </c>
      <c r="JC7" s="85">
        <v>0</v>
      </c>
      <c r="JD7" s="12">
        <v>15</v>
      </c>
      <c r="JE7" s="12">
        <v>2</v>
      </c>
      <c r="JF7" s="12">
        <v>15</v>
      </c>
      <c r="JG7" s="12">
        <v>2</v>
      </c>
      <c r="JH7" s="12">
        <v>15</v>
      </c>
      <c r="JI7" s="12">
        <v>2</v>
      </c>
      <c r="JJ7" s="13" t="s">
        <v>619</v>
      </c>
      <c r="JK7" s="13" t="s">
        <v>619</v>
      </c>
      <c r="JL7" s="13" t="s">
        <v>296</v>
      </c>
      <c r="JM7" s="89"/>
      <c r="JN7" s="89"/>
      <c r="JO7" s="89" t="s">
        <v>297</v>
      </c>
      <c r="JP7" s="89"/>
      <c r="JQ7" s="89"/>
      <c r="JR7" s="89" t="s">
        <v>297</v>
      </c>
      <c r="JS7" s="89" t="s">
        <v>620</v>
      </c>
      <c r="JT7" s="89" t="s">
        <v>620</v>
      </c>
      <c r="JU7" s="89" t="s">
        <v>297</v>
      </c>
      <c r="JV7" s="89"/>
      <c r="JW7" s="89"/>
      <c r="JX7" s="89" t="s">
        <v>297</v>
      </c>
      <c r="JY7" s="12" t="s">
        <v>619</v>
      </c>
      <c r="JZ7" s="12" t="s">
        <v>34</v>
      </c>
      <c r="KA7" s="12" t="s">
        <v>619</v>
      </c>
      <c r="KB7" s="12" t="s">
        <v>34</v>
      </c>
      <c r="KC7" s="12" t="s">
        <v>619</v>
      </c>
      <c r="KD7" s="12" t="s">
        <v>619</v>
      </c>
      <c r="KE7" s="12" t="s">
        <v>34</v>
      </c>
      <c r="KF7" s="12"/>
      <c r="KG7" s="12" t="s">
        <v>34</v>
      </c>
      <c r="KH7" s="12" t="s">
        <v>34</v>
      </c>
      <c r="KI7" s="12" t="s">
        <v>34</v>
      </c>
      <c r="KJ7" s="12" t="s">
        <v>34</v>
      </c>
      <c r="KK7" s="12" t="s">
        <v>34</v>
      </c>
      <c r="KL7" s="12" t="s">
        <v>34</v>
      </c>
      <c r="KM7" s="12" t="s">
        <v>619</v>
      </c>
      <c r="KN7" s="12" t="s">
        <v>619</v>
      </c>
      <c r="KO7" s="12" t="s">
        <v>619</v>
      </c>
      <c r="KP7" s="12" t="s">
        <v>34</v>
      </c>
      <c r="KQ7" s="12" t="s">
        <v>619</v>
      </c>
      <c r="KR7" s="12" t="s">
        <v>619</v>
      </c>
      <c r="KS7" s="12" t="s">
        <v>619</v>
      </c>
      <c r="KT7" s="12" t="s">
        <v>34</v>
      </c>
      <c r="KU7" s="12" t="s">
        <v>34</v>
      </c>
      <c r="KV7" s="12" t="s">
        <v>34</v>
      </c>
      <c r="KW7" s="12" t="s">
        <v>34</v>
      </c>
      <c r="KX7" s="12" t="s">
        <v>34</v>
      </c>
      <c r="KY7" s="12" t="s">
        <v>619</v>
      </c>
      <c r="KZ7" s="12" t="s">
        <v>34</v>
      </c>
      <c r="LA7" s="12" t="s">
        <v>34</v>
      </c>
      <c r="LB7" s="12" t="s">
        <v>619</v>
      </c>
      <c r="LC7" s="12" t="s">
        <v>34</v>
      </c>
      <c r="LD7" s="12" t="s">
        <v>34</v>
      </c>
      <c r="LE7" s="12" t="s">
        <v>34</v>
      </c>
      <c r="LF7" s="12" t="s">
        <v>34</v>
      </c>
      <c r="LG7" s="12" t="s">
        <v>34</v>
      </c>
      <c r="LH7" s="12" t="s">
        <v>34</v>
      </c>
      <c r="LI7" s="12" t="s">
        <v>619</v>
      </c>
      <c r="LJ7" s="12" t="s">
        <v>34</v>
      </c>
      <c r="LK7" s="12" t="s">
        <v>619</v>
      </c>
      <c r="LL7" s="13" t="s">
        <v>34</v>
      </c>
      <c r="LM7" s="13" t="s">
        <v>34</v>
      </c>
      <c r="LN7" s="13" t="s">
        <v>34</v>
      </c>
      <c r="LO7" s="13" t="s">
        <v>34</v>
      </c>
      <c r="LP7" s="90" t="s">
        <v>34</v>
      </c>
      <c r="LQ7" s="13" t="s">
        <v>34</v>
      </c>
      <c r="LR7" s="13" t="s">
        <v>34</v>
      </c>
      <c r="LS7" s="13"/>
      <c r="LT7" s="13" t="s">
        <v>34</v>
      </c>
      <c r="LU7" s="13" t="s">
        <v>34</v>
      </c>
      <c r="LV7" s="13" t="s">
        <v>34</v>
      </c>
      <c r="LW7" s="13" t="s">
        <v>34</v>
      </c>
      <c r="LX7" s="13" t="s">
        <v>34</v>
      </c>
      <c r="LY7" s="13" t="s">
        <v>34</v>
      </c>
      <c r="LZ7" s="13" t="s">
        <v>34</v>
      </c>
      <c r="MA7" s="13" t="s">
        <v>619</v>
      </c>
      <c r="MB7" s="13" t="s">
        <v>34</v>
      </c>
      <c r="MC7" s="13" t="s">
        <v>34</v>
      </c>
      <c r="MD7" s="13" t="s">
        <v>34</v>
      </c>
      <c r="ME7" s="13" t="s">
        <v>34</v>
      </c>
      <c r="MF7" s="13" t="s">
        <v>34</v>
      </c>
      <c r="MG7" s="13" t="s">
        <v>34</v>
      </c>
      <c r="MH7" s="13" t="s">
        <v>34</v>
      </c>
      <c r="MI7" s="13" t="s">
        <v>34</v>
      </c>
      <c r="MJ7" s="13" t="s">
        <v>34</v>
      </c>
      <c r="MK7" s="13" t="s">
        <v>34</v>
      </c>
      <c r="ML7" s="13" t="s">
        <v>34</v>
      </c>
      <c r="MM7" s="13" t="s">
        <v>34</v>
      </c>
      <c r="MN7" s="13" t="s">
        <v>34</v>
      </c>
      <c r="MO7" s="13" t="s">
        <v>34</v>
      </c>
      <c r="MP7" s="13" t="s">
        <v>34</v>
      </c>
      <c r="MQ7" s="13" t="s">
        <v>34</v>
      </c>
      <c r="MR7" s="13" t="s">
        <v>619</v>
      </c>
      <c r="MS7" s="13" t="s">
        <v>34</v>
      </c>
      <c r="MT7" s="13" t="s">
        <v>34</v>
      </c>
      <c r="MU7" s="13" t="s">
        <v>34</v>
      </c>
      <c r="MV7" s="13" t="s">
        <v>34</v>
      </c>
      <c r="MW7" s="13" t="s">
        <v>34</v>
      </c>
      <c r="MX7" s="13" t="s">
        <v>34</v>
      </c>
      <c r="MY7" s="28" t="s">
        <v>296</v>
      </c>
      <c r="MZ7" s="28" t="s">
        <v>297</v>
      </c>
      <c r="NA7" s="28" t="s">
        <v>297</v>
      </c>
      <c r="NB7" s="28" t="s">
        <v>296</v>
      </c>
      <c r="NC7" s="28" t="s">
        <v>296</v>
      </c>
      <c r="ND7" s="28" t="s">
        <v>296</v>
      </c>
      <c r="NE7" s="28" t="s">
        <v>297</v>
      </c>
      <c r="NF7" s="28" t="s">
        <v>297</v>
      </c>
      <c r="NG7" s="28" t="s">
        <v>297</v>
      </c>
      <c r="NH7" s="28" t="s">
        <v>297</v>
      </c>
      <c r="NI7" s="177" t="s">
        <v>297</v>
      </c>
      <c r="NJ7" s="177" t="s">
        <v>297</v>
      </c>
      <c r="NK7" s="177" t="s">
        <v>296</v>
      </c>
      <c r="NL7" s="177" t="s">
        <v>297</v>
      </c>
      <c r="NM7" s="177" t="s">
        <v>296</v>
      </c>
      <c r="NN7" s="177" t="s">
        <v>296</v>
      </c>
      <c r="NO7" s="177" t="s">
        <v>296</v>
      </c>
      <c r="NP7" s="177" t="s">
        <v>297</v>
      </c>
      <c r="NQ7" s="177" t="s">
        <v>296</v>
      </c>
      <c r="NR7" s="12" t="s">
        <v>34</v>
      </c>
      <c r="NS7" s="13" t="s">
        <v>34</v>
      </c>
    </row>
    <row r="8" spans="1:383" x14ac:dyDescent="0.25">
      <c r="A8" s="8" t="s">
        <v>47</v>
      </c>
      <c r="B8" s="9" t="s">
        <v>48</v>
      </c>
      <c r="C8" s="9">
        <v>84</v>
      </c>
      <c r="D8" s="9" t="s">
        <v>33</v>
      </c>
      <c r="E8" s="10">
        <v>65</v>
      </c>
      <c r="F8" s="10">
        <v>60</v>
      </c>
      <c r="G8" s="10">
        <v>56</v>
      </c>
      <c r="H8" s="10">
        <v>51</v>
      </c>
      <c r="I8" s="10">
        <v>32</v>
      </c>
      <c r="J8" s="11">
        <v>345</v>
      </c>
      <c r="K8" s="11">
        <v>318</v>
      </c>
      <c r="L8" s="11">
        <v>300</v>
      </c>
      <c r="M8" s="11">
        <v>196</v>
      </c>
      <c r="N8" s="11">
        <v>119</v>
      </c>
      <c r="O8" s="13">
        <v>3738</v>
      </c>
      <c r="P8" s="13">
        <v>3178</v>
      </c>
      <c r="Q8" s="13">
        <v>3066</v>
      </c>
      <c r="R8" s="13">
        <v>2328</v>
      </c>
      <c r="S8" s="13">
        <v>947</v>
      </c>
      <c r="T8" s="12">
        <v>1608</v>
      </c>
      <c r="U8" s="12">
        <v>1471</v>
      </c>
      <c r="V8" s="12">
        <v>1119</v>
      </c>
      <c r="W8" s="12">
        <v>778</v>
      </c>
      <c r="X8" s="12">
        <v>514</v>
      </c>
      <c r="Y8" s="12">
        <v>8.6</v>
      </c>
      <c r="Z8" s="12">
        <v>8.6</v>
      </c>
      <c r="AA8" s="12">
        <v>8.6</v>
      </c>
      <c r="AB8" s="13">
        <v>7.6</v>
      </c>
      <c r="AC8" s="13">
        <v>7.6</v>
      </c>
      <c r="AD8" s="13">
        <v>7.6</v>
      </c>
      <c r="AE8" s="35" t="s">
        <v>258</v>
      </c>
      <c r="AF8" s="35" t="s">
        <v>258</v>
      </c>
      <c r="AG8" s="35" t="s">
        <v>258</v>
      </c>
      <c r="AH8" s="38">
        <v>0.5</v>
      </c>
      <c r="AI8" s="38">
        <v>0.5</v>
      </c>
      <c r="AJ8" s="38">
        <v>0.6</v>
      </c>
      <c r="AK8" s="45" t="s">
        <v>34</v>
      </c>
      <c r="AL8" s="45" t="s">
        <v>34</v>
      </c>
      <c r="AM8" s="45" t="s">
        <v>34</v>
      </c>
      <c r="AN8" s="45" t="s">
        <v>34</v>
      </c>
      <c r="AO8" s="45" t="s">
        <v>34</v>
      </c>
      <c r="AP8" s="45" t="s">
        <v>292</v>
      </c>
      <c r="AQ8" s="53" t="s">
        <v>297</v>
      </c>
      <c r="AR8" s="56">
        <v>100</v>
      </c>
      <c r="AS8" s="57">
        <v>30</v>
      </c>
      <c r="AT8" s="56">
        <v>53</v>
      </c>
      <c r="AU8" s="57">
        <v>14534</v>
      </c>
      <c r="AV8" s="57">
        <v>4225</v>
      </c>
      <c r="AW8" s="57">
        <v>3850</v>
      </c>
      <c r="AX8" s="57">
        <v>9</v>
      </c>
      <c r="AY8" s="57">
        <v>2</v>
      </c>
      <c r="AZ8" s="57">
        <v>7</v>
      </c>
      <c r="BA8" s="57">
        <v>2583</v>
      </c>
      <c r="BB8" s="57">
        <v>4977</v>
      </c>
      <c r="BC8" s="57">
        <v>4980</v>
      </c>
      <c r="BD8" s="57">
        <v>1203</v>
      </c>
      <c r="BE8" s="57">
        <v>1827</v>
      </c>
      <c r="BF8" s="57">
        <v>1180</v>
      </c>
      <c r="BG8" s="57">
        <v>1091</v>
      </c>
      <c r="BH8" s="57">
        <v>645</v>
      </c>
      <c r="BI8" s="57">
        <v>1196</v>
      </c>
      <c r="BJ8" s="57" t="s">
        <v>296</v>
      </c>
      <c r="BK8" s="57">
        <v>4</v>
      </c>
      <c r="BL8" s="57">
        <v>0</v>
      </c>
      <c r="BM8" s="57">
        <v>0</v>
      </c>
      <c r="BN8" s="57">
        <v>425</v>
      </c>
      <c r="BO8" s="57">
        <v>339</v>
      </c>
      <c r="BP8" s="57">
        <v>0</v>
      </c>
      <c r="BQ8" s="76">
        <v>298</v>
      </c>
      <c r="BR8" s="76">
        <v>295</v>
      </c>
      <c r="BS8">
        <v>290</v>
      </c>
      <c r="BT8">
        <v>290</v>
      </c>
      <c r="BU8">
        <v>289</v>
      </c>
      <c r="BV8">
        <v>22951</v>
      </c>
      <c r="BW8">
        <v>22724</v>
      </c>
      <c r="BX8">
        <v>22634</v>
      </c>
      <c r="BY8">
        <v>22252</v>
      </c>
      <c r="BZ8">
        <v>21972</v>
      </c>
      <c r="CA8">
        <v>89</v>
      </c>
      <c r="CB8">
        <v>77</v>
      </c>
      <c r="CC8">
        <v>65</v>
      </c>
      <c r="CD8">
        <v>59</v>
      </c>
      <c r="CE8">
        <v>36</v>
      </c>
      <c r="CF8">
        <v>5346</v>
      </c>
      <c r="CG8">
        <v>4649</v>
      </c>
      <c r="CH8">
        <v>4185</v>
      </c>
      <c r="CI8">
        <v>3106</v>
      </c>
      <c r="CJ8">
        <v>1461</v>
      </c>
      <c r="CK8" s="10">
        <v>78</v>
      </c>
      <c r="CL8" s="10">
        <v>78</v>
      </c>
      <c r="CM8" s="10">
        <v>78</v>
      </c>
      <c r="CN8" s="11">
        <v>31</v>
      </c>
      <c r="CO8" s="11">
        <v>31</v>
      </c>
      <c r="CP8" s="11">
        <v>31</v>
      </c>
      <c r="CQ8" s="13">
        <v>20</v>
      </c>
      <c r="CR8" s="13">
        <v>6</v>
      </c>
      <c r="CS8" s="13">
        <v>0</v>
      </c>
      <c r="CT8" s="10">
        <v>0</v>
      </c>
      <c r="CU8" s="10">
        <v>7</v>
      </c>
      <c r="CV8" s="10">
        <v>28</v>
      </c>
      <c r="CW8" s="10">
        <v>31</v>
      </c>
      <c r="CX8" s="10">
        <v>7</v>
      </c>
      <c r="CY8" s="10">
        <v>0</v>
      </c>
      <c r="CZ8" s="10">
        <v>0</v>
      </c>
      <c r="DA8" s="10">
        <v>5</v>
      </c>
      <c r="DB8" s="10">
        <v>0</v>
      </c>
      <c r="DC8" s="10">
        <v>0</v>
      </c>
      <c r="DD8" s="10">
        <v>0</v>
      </c>
      <c r="DE8" s="10">
        <v>0</v>
      </c>
      <c r="DF8" s="10">
        <v>0</v>
      </c>
      <c r="DG8" s="10">
        <v>0</v>
      </c>
      <c r="DH8" s="10">
        <v>0</v>
      </c>
      <c r="DI8" s="81">
        <v>0</v>
      </c>
      <c r="DJ8" s="81">
        <v>1</v>
      </c>
      <c r="DK8" s="81">
        <v>1</v>
      </c>
      <c r="DL8" s="81">
        <v>0</v>
      </c>
      <c r="DM8" s="81">
        <v>0</v>
      </c>
      <c r="DN8" s="12">
        <v>0</v>
      </c>
      <c r="DO8" s="12">
        <v>0</v>
      </c>
      <c r="DP8" s="12">
        <v>1</v>
      </c>
      <c r="DQ8" s="12">
        <v>0</v>
      </c>
      <c r="DR8" s="12">
        <v>0</v>
      </c>
      <c r="DS8" s="12">
        <v>0</v>
      </c>
      <c r="DT8" s="12">
        <v>0</v>
      </c>
      <c r="DU8" s="12">
        <v>0</v>
      </c>
      <c r="DV8" s="12">
        <v>0</v>
      </c>
      <c r="DW8" s="12">
        <v>2</v>
      </c>
      <c r="DX8" s="12">
        <v>17</v>
      </c>
      <c r="DY8" s="12">
        <v>8</v>
      </c>
      <c r="DZ8" s="12">
        <v>1</v>
      </c>
      <c r="EA8" s="12">
        <v>0</v>
      </c>
      <c r="EB8" s="12">
        <v>2</v>
      </c>
      <c r="EC8" s="12">
        <v>0</v>
      </c>
      <c r="ED8" s="12">
        <v>38</v>
      </c>
      <c r="EE8" s="12">
        <v>0</v>
      </c>
      <c r="EF8" s="12">
        <v>0</v>
      </c>
      <c r="EG8" s="12">
        <v>0</v>
      </c>
      <c r="EH8" s="12">
        <v>0</v>
      </c>
      <c r="EI8" s="12">
        <v>0</v>
      </c>
      <c r="EJ8" s="12">
        <v>3</v>
      </c>
      <c r="EK8" s="12">
        <v>0</v>
      </c>
      <c r="EL8" s="12">
        <v>2</v>
      </c>
      <c r="EM8" s="12">
        <v>0</v>
      </c>
      <c r="EN8" s="12">
        <v>2</v>
      </c>
      <c r="EO8" s="12">
        <v>1</v>
      </c>
      <c r="EP8" s="12">
        <v>11</v>
      </c>
      <c r="EQ8" s="12">
        <v>1</v>
      </c>
      <c r="ER8" s="12">
        <v>0</v>
      </c>
      <c r="ES8" s="13">
        <v>9</v>
      </c>
      <c r="ET8" s="13">
        <v>1</v>
      </c>
      <c r="EU8" s="13">
        <v>0</v>
      </c>
      <c r="EV8" s="10">
        <v>0</v>
      </c>
      <c r="EW8" s="10">
        <v>0</v>
      </c>
      <c r="EX8" s="10">
        <v>1</v>
      </c>
      <c r="EY8" s="10">
        <v>10</v>
      </c>
      <c r="EZ8" s="10">
        <v>0</v>
      </c>
      <c r="FA8" s="10">
        <v>0</v>
      </c>
      <c r="FB8" s="10">
        <v>0</v>
      </c>
      <c r="FC8" s="10">
        <v>4</v>
      </c>
      <c r="FD8" s="10">
        <v>1</v>
      </c>
      <c r="FE8" s="10">
        <v>0</v>
      </c>
      <c r="FF8" s="10">
        <v>0</v>
      </c>
      <c r="FG8" s="10">
        <v>0</v>
      </c>
      <c r="FH8" s="10">
        <v>0</v>
      </c>
      <c r="FI8" s="10">
        <v>0</v>
      </c>
      <c r="FJ8" s="10">
        <v>0</v>
      </c>
      <c r="FK8" s="81">
        <v>0</v>
      </c>
      <c r="FL8" s="81">
        <v>0</v>
      </c>
      <c r="FM8" s="81">
        <v>0</v>
      </c>
      <c r="FN8" s="81">
        <v>0</v>
      </c>
      <c r="FO8" s="81">
        <v>0</v>
      </c>
      <c r="FP8" s="12">
        <v>1</v>
      </c>
      <c r="FQ8" s="12">
        <v>0</v>
      </c>
      <c r="FR8" s="12">
        <v>4</v>
      </c>
      <c r="FS8" s="12">
        <v>4</v>
      </c>
      <c r="FT8" s="12">
        <v>0</v>
      </c>
      <c r="FU8" s="12">
        <v>0</v>
      </c>
      <c r="FV8" s="12">
        <v>0</v>
      </c>
      <c r="FW8" s="12">
        <v>0</v>
      </c>
      <c r="FX8" s="12">
        <v>4</v>
      </c>
      <c r="FY8" s="12">
        <v>0</v>
      </c>
      <c r="FZ8" s="12">
        <v>0</v>
      </c>
      <c r="GA8" s="12">
        <v>5</v>
      </c>
      <c r="GB8" s="12">
        <v>1</v>
      </c>
      <c r="GC8" s="12">
        <v>0</v>
      </c>
      <c r="GD8" s="12">
        <v>6</v>
      </c>
      <c r="GE8" s="12">
        <v>0</v>
      </c>
      <c r="GF8" s="12">
        <v>4</v>
      </c>
      <c r="GG8" s="12">
        <v>0</v>
      </c>
      <c r="GH8" s="12">
        <v>0</v>
      </c>
      <c r="GI8" s="12">
        <v>0</v>
      </c>
      <c r="GJ8" s="12">
        <v>0</v>
      </c>
      <c r="GK8" s="12">
        <v>0</v>
      </c>
      <c r="GL8" s="12">
        <v>0</v>
      </c>
      <c r="GM8" s="12">
        <v>0</v>
      </c>
      <c r="GN8" s="12">
        <v>0</v>
      </c>
      <c r="GO8" s="12">
        <v>0</v>
      </c>
      <c r="GP8" s="12">
        <v>0</v>
      </c>
      <c r="GQ8" s="12">
        <v>0</v>
      </c>
      <c r="GR8" s="12">
        <v>0</v>
      </c>
      <c r="GS8" s="12">
        <v>0</v>
      </c>
      <c r="GT8" s="12">
        <v>0</v>
      </c>
      <c r="GU8" s="13">
        <v>30</v>
      </c>
      <c r="GV8" s="13">
        <v>12</v>
      </c>
      <c r="GW8" s="13">
        <v>11</v>
      </c>
      <c r="GX8" s="13">
        <v>0</v>
      </c>
      <c r="GY8" s="10">
        <v>0</v>
      </c>
      <c r="GZ8" s="10">
        <v>8</v>
      </c>
      <c r="HA8" s="10">
        <v>25</v>
      </c>
      <c r="HB8" s="10">
        <v>22</v>
      </c>
      <c r="HC8" s="10">
        <v>6</v>
      </c>
      <c r="HD8" s="10">
        <v>0</v>
      </c>
      <c r="HE8" s="10">
        <v>0</v>
      </c>
      <c r="HF8" s="10">
        <v>2</v>
      </c>
      <c r="HG8" s="10">
        <v>0</v>
      </c>
      <c r="HH8" s="10">
        <v>0</v>
      </c>
      <c r="HI8" s="10">
        <v>0</v>
      </c>
      <c r="HJ8" s="10">
        <v>0</v>
      </c>
      <c r="HK8" s="10">
        <v>0</v>
      </c>
      <c r="HL8" s="10">
        <v>0</v>
      </c>
      <c r="HM8" s="10">
        <v>0</v>
      </c>
      <c r="HN8" s="81">
        <v>0</v>
      </c>
      <c r="HO8" s="81">
        <v>0</v>
      </c>
      <c r="HP8" s="81">
        <v>1</v>
      </c>
      <c r="HQ8" s="81">
        <v>0</v>
      </c>
      <c r="HR8" s="81">
        <v>0</v>
      </c>
      <c r="HS8" s="12">
        <v>0</v>
      </c>
      <c r="HT8" s="12">
        <v>0</v>
      </c>
      <c r="HU8" s="12">
        <v>0</v>
      </c>
      <c r="HV8" s="12">
        <v>0</v>
      </c>
      <c r="HW8" s="12">
        <v>0</v>
      </c>
      <c r="HX8" s="12">
        <v>0</v>
      </c>
      <c r="HY8" s="12">
        <v>0</v>
      </c>
      <c r="HZ8" s="12">
        <v>0</v>
      </c>
      <c r="IA8" s="12">
        <v>0</v>
      </c>
      <c r="IB8" s="12">
        <v>0</v>
      </c>
      <c r="IC8" s="12">
        <v>11</v>
      </c>
      <c r="ID8" s="12">
        <v>0</v>
      </c>
      <c r="IE8" s="12">
        <v>0</v>
      </c>
      <c r="IF8" s="12">
        <v>0</v>
      </c>
      <c r="IG8" s="12">
        <v>4</v>
      </c>
      <c r="IH8" s="12">
        <v>0</v>
      </c>
      <c r="II8" s="12">
        <v>0</v>
      </c>
      <c r="IJ8" s="12">
        <v>0</v>
      </c>
      <c r="IK8" s="12">
        <v>0</v>
      </c>
      <c r="IL8" s="12">
        <v>0</v>
      </c>
      <c r="IM8" s="12">
        <v>0</v>
      </c>
      <c r="IN8" s="12">
        <v>0</v>
      </c>
      <c r="IO8" s="12">
        <v>0</v>
      </c>
      <c r="IP8" s="12">
        <v>0</v>
      </c>
      <c r="IQ8" s="12">
        <v>0</v>
      </c>
      <c r="IR8" s="12">
        <v>0</v>
      </c>
      <c r="IS8" s="12">
        <v>0</v>
      </c>
      <c r="IT8" s="12">
        <v>0</v>
      </c>
      <c r="IU8" s="12">
        <v>11</v>
      </c>
      <c r="IV8" s="12">
        <v>0</v>
      </c>
      <c r="IW8" s="12">
        <v>0</v>
      </c>
      <c r="IX8" s="11">
        <v>30000</v>
      </c>
      <c r="IY8" s="11">
        <v>27500</v>
      </c>
      <c r="IZ8" s="11">
        <v>30000</v>
      </c>
      <c r="JA8" s="85">
        <v>1</v>
      </c>
      <c r="JB8" s="85">
        <v>0</v>
      </c>
      <c r="JC8" s="85">
        <v>0</v>
      </c>
      <c r="JD8" s="12">
        <v>6</v>
      </c>
      <c r="JE8" s="12">
        <v>5</v>
      </c>
      <c r="JF8" s="12">
        <v>6</v>
      </c>
      <c r="JG8" s="12">
        <v>2</v>
      </c>
      <c r="JH8" s="12">
        <v>6</v>
      </c>
      <c r="JI8" s="12">
        <v>6</v>
      </c>
      <c r="JJ8" s="13" t="s">
        <v>620</v>
      </c>
      <c r="JK8" s="13" t="s">
        <v>619</v>
      </c>
      <c r="JL8" s="13" t="s">
        <v>297</v>
      </c>
      <c r="JM8" s="89"/>
      <c r="JN8" s="89"/>
      <c r="JO8" s="89" t="s">
        <v>296</v>
      </c>
      <c r="JP8" s="89"/>
      <c r="JQ8" s="89"/>
      <c r="JR8" s="89" t="s">
        <v>296</v>
      </c>
      <c r="JS8" s="89" t="s">
        <v>619</v>
      </c>
      <c r="JT8" s="89" t="s">
        <v>619</v>
      </c>
      <c r="JU8" s="89" t="s">
        <v>296</v>
      </c>
      <c r="JV8" s="89"/>
      <c r="JW8" s="89"/>
      <c r="JX8" s="89" t="s">
        <v>297</v>
      </c>
      <c r="JY8" s="12" t="s">
        <v>34</v>
      </c>
      <c r="JZ8" s="12" t="s">
        <v>34</v>
      </c>
      <c r="KA8" s="12" t="s">
        <v>34</v>
      </c>
      <c r="KB8" s="12" t="s">
        <v>34</v>
      </c>
      <c r="KC8" s="12" t="s">
        <v>34</v>
      </c>
      <c r="KD8" s="12" t="s">
        <v>34</v>
      </c>
      <c r="KE8" s="12" t="s">
        <v>619</v>
      </c>
      <c r="KF8" s="12"/>
      <c r="KG8" s="12" t="s">
        <v>34</v>
      </c>
      <c r="KH8" s="12" t="s">
        <v>34</v>
      </c>
      <c r="KI8" s="12" t="s">
        <v>34</v>
      </c>
      <c r="KJ8" s="12" t="s">
        <v>34</v>
      </c>
      <c r="KK8" s="12" t="s">
        <v>34</v>
      </c>
      <c r="KL8" s="12" t="s">
        <v>34</v>
      </c>
      <c r="KM8" s="12" t="s">
        <v>34</v>
      </c>
      <c r="KN8" s="12" t="s">
        <v>34</v>
      </c>
      <c r="KO8" s="12" t="s">
        <v>34</v>
      </c>
      <c r="KP8" s="12" t="s">
        <v>34</v>
      </c>
      <c r="KQ8" s="12" t="s">
        <v>619</v>
      </c>
      <c r="KR8" s="12" t="s">
        <v>619</v>
      </c>
      <c r="KS8" s="12" t="s">
        <v>34</v>
      </c>
      <c r="KT8" s="12" t="s">
        <v>34</v>
      </c>
      <c r="KU8" s="12" t="s">
        <v>34</v>
      </c>
      <c r="KV8" s="12" t="s">
        <v>34</v>
      </c>
      <c r="KW8" s="12" t="s">
        <v>34</v>
      </c>
      <c r="KX8" s="12" t="s">
        <v>34</v>
      </c>
      <c r="KY8" s="12" t="s">
        <v>34</v>
      </c>
      <c r="KZ8" s="12" t="s">
        <v>34</v>
      </c>
      <c r="LA8" s="12" t="s">
        <v>34</v>
      </c>
      <c r="LB8" s="12" t="s">
        <v>34</v>
      </c>
      <c r="LC8" s="12" t="s">
        <v>34</v>
      </c>
      <c r="LD8" s="12" t="s">
        <v>619</v>
      </c>
      <c r="LE8" s="12" t="s">
        <v>34</v>
      </c>
      <c r="LF8" s="12" t="s">
        <v>34</v>
      </c>
      <c r="LG8" s="12" t="s">
        <v>34</v>
      </c>
      <c r="LH8" s="12" t="s">
        <v>34</v>
      </c>
      <c r="LI8" s="12" t="s">
        <v>619</v>
      </c>
      <c r="LJ8" s="12" t="s">
        <v>34</v>
      </c>
      <c r="LK8" s="12" t="s">
        <v>34</v>
      </c>
      <c r="LL8" s="13" t="s">
        <v>34</v>
      </c>
      <c r="LM8" s="13" t="s">
        <v>34</v>
      </c>
      <c r="LN8" s="13" t="s">
        <v>34</v>
      </c>
      <c r="LO8" s="13" t="s">
        <v>34</v>
      </c>
      <c r="LP8" s="90" t="s">
        <v>34</v>
      </c>
      <c r="LQ8" s="13" t="s">
        <v>34</v>
      </c>
      <c r="LR8" s="13" t="s">
        <v>34</v>
      </c>
      <c r="LS8" s="13"/>
      <c r="LT8" s="13" t="s">
        <v>34</v>
      </c>
      <c r="LU8" s="13" t="s">
        <v>34</v>
      </c>
      <c r="LV8" s="13" t="s">
        <v>34</v>
      </c>
      <c r="LW8" s="13" t="s">
        <v>34</v>
      </c>
      <c r="LX8" s="13" t="s">
        <v>34</v>
      </c>
      <c r="LY8" s="13" t="s">
        <v>34</v>
      </c>
      <c r="LZ8" s="13" t="s">
        <v>34</v>
      </c>
      <c r="MA8" s="13" t="s">
        <v>34</v>
      </c>
      <c r="MB8" s="13" t="s">
        <v>34</v>
      </c>
      <c r="MC8" s="13" t="s">
        <v>34</v>
      </c>
      <c r="MD8" s="13" t="s">
        <v>34</v>
      </c>
      <c r="ME8" s="13" t="s">
        <v>34</v>
      </c>
      <c r="MF8" s="13" t="s">
        <v>34</v>
      </c>
      <c r="MG8" s="13" t="s">
        <v>34</v>
      </c>
      <c r="MH8" s="13" t="s">
        <v>34</v>
      </c>
      <c r="MI8" s="13" t="s">
        <v>34</v>
      </c>
      <c r="MJ8" s="13" t="s">
        <v>34</v>
      </c>
      <c r="MK8" s="13" t="s">
        <v>34</v>
      </c>
      <c r="ML8" s="13" t="s">
        <v>34</v>
      </c>
      <c r="MM8" s="13" t="s">
        <v>34</v>
      </c>
      <c r="MN8" s="13" t="s">
        <v>34</v>
      </c>
      <c r="MO8" s="13" t="s">
        <v>34</v>
      </c>
      <c r="MP8" s="13" t="s">
        <v>34</v>
      </c>
      <c r="MQ8" s="13" t="s">
        <v>34</v>
      </c>
      <c r="MR8" s="13" t="s">
        <v>34</v>
      </c>
      <c r="MS8" s="13" t="s">
        <v>34</v>
      </c>
      <c r="MT8" s="13" t="s">
        <v>34</v>
      </c>
      <c r="MU8" s="13" t="s">
        <v>34</v>
      </c>
      <c r="MV8" s="13" t="s">
        <v>34</v>
      </c>
      <c r="MW8" s="13" t="s">
        <v>34</v>
      </c>
      <c r="MX8" s="13" t="s">
        <v>34</v>
      </c>
      <c r="MY8" s="28" t="s">
        <v>296</v>
      </c>
      <c r="MZ8" s="28" t="s">
        <v>297</v>
      </c>
      <c r="NA8" s="28" t="s">
        <v>296</v>
      </c>
      <c r="NB8" s="28" t="s">
        <v>296</v>
      </c>
      <c r="NC8" s="28" t="s">
        <v>296</v>
      </c>
      <c r="ND8" s="28" t="s">
        <v>297</v>
      </c>
      <c r="NE8" s="28" t="s">
        <v>296</v>
      </c>
      <c r="NF8" s="28" t="s">
        <v>297</v>
      </c>
      <c r="NG8" s="28" t="s">
        <v>297</v>
      </c>
      <c r="NH8" s="28" t="s">
        <v>297</v>
      </c>
      <c r="NI8" s="177" t="s">
        <v>296</v>
      </c>
      <c r="NJ8" s="177" t="s">
        <v>297</v>
      </c>
      <c r="NK8" s="177" t="s">
        <v>296</v>
      </c>
      <c r="NL8" s="177" t="s">
        <v>296</v>
      </c>
      <c r="NM8" s="177" t="s">
        <v>296</v>
      </c>
      <c r="NN8" s="177" t="s">
        <v>296</v>
      </c>
      <c r="NO8" s="177" t="s">
        <v>296</v>
      </c>
      <c r="NP8" s="177" t="s">
        <v>297</v>
      </c>
      <c r="NQ8" s="177" t="s">
        <v>296</v>
      </c>
      <c r="NR8" s="12" t="s">
        <v>34</v>
      </c>
      <c r="NS8" s="13" t="s">
        <v>34</v>
      </c>
    </row>
    <row r="9" spans="1:383" x14ac:dyDescent="0.25">
      <c r="A9" s="8" t="s">
        <v>49</v>
      </c>
      <c r="B9" s="9" t="s">
        <v>50</v>
      </c>
      <c r="C9" s="9">
        <v>44</v>
      </c>
      <c r="D9" s="9" t="s">
        <v>51</v>
      </c>
      <c r="E9" s="10">
        <v>38</v>
      </c>
      <c r="F9" s="10">
        <v>34</v>
      </c>
      <c r="G9" s="10">
        <v>31</v>
      </c>
      <c r="H9" s="10">
        <v>0</v>
      </c>
      <c r="I9" s="10">
        <v>0</v>
      </c>
      <c r="J9" s="11">
        <v>150</v>
      </c>
      <c r="K9" s="11">
        <v>134</v>
      </c>
      <c r="L9" s="11">
        <v>104</v>
      </c>
      <c r="M9" s="11">
        <v>0</v>
      </c>
      <c r="N9" s="11">
        <v>0</v>
      </c>
      <c r="O9" s="13">
        <v>3328</v>
      </c>
      <c r="P9" s="13">
        <v>1688</v>
      </c>
      <c r="Q9" s="13">
        <v>1342</v>
      </c>
      <c r="R9" s="13">
        <v>0</v>
      </c>
      <c r="S9" s="13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5.5</v>
      </c>
      <c r="Z9" s="12">
        <v>5.51</v>
      </c>
      <c r="AA9" s="12">
        <v>5.51</v>
      </c>
      <c r="AB9" s="13">
        <v>5.16</v>
      </c>
      <c r="AC9" s="13">
        <v>5.17</v>
      </c>
      <c r="AD9" s="13">
        <v>5.17</v>
      </c>
      <c r="AE9" s="36" t="s">
        <v>319</v>
      </c>
      <c r="AF9" s="36" t="s">
        <v>319</v>
      </c>
      <c r="AG9" s="36" t="s">
        <v>319</v>
      </c>
      <c r="AH9" s="39" t="s">
        <v>319</v>
      </c>
      <c r="AI9" s="39" t="s">
        <v>319</v>
      </c>
      <c r="AJ9" s="39" t="s">
        <v>319</v>
      </c>
      <c r="AK9" s="45" t="s">
        <v>34</v>
      </c>
      <c r="AL9" s="45" t="s">
        <v>34</v>
      </c>
      <c r="AM9" s="45" t="s">
        <v>34</v>
      </c>
      <c r="AN9" s="45" t="s">
        <v>34</v>
      </c>
      <c r="AO9" s="45" t="s">
        <v>34</v>
      </c>
      <c r="AP9" s="45" t="s">
        <v>34</v>
      </c>
      <c r="AQ9" s="54" t="s">
        <v>319</v>
      </c>
      <c r="AR9" s="56">
        <v>57</v>
      </c>
      <c r="AS9" s="57">
        <v>0</v>
      </c>
      <c r="AT9" s="56">
        <v>0</v>
      </c>
      <c r="AU9" s="57">
        <v>4692</v>
      </c>
      <c r="AV9" s="57">
        <v>0</v>
      </c>
      <c r="AW9" s="57">
        <v>0</v>
      </c>
      <c r="AX9" s="57">
        <v>27</v>
      </c>
      <c r="AY9" s="57">
        <v>0</v>
      </c>
      <c r="AZ9" s="57">
        <v>0</v>
      </c>
      <c r="BA9" s="57">
        <v>191</v>
      </c>
      <c r="BB9" s="57">
        <v>1275</v>
      </c>
      <c r="BC9" s="57">
        <v>2669</v>
      </c>
      <c r="BD9" s="57">
        <v>0</v>
      </c>
      <c r="BE9" s="57">
        <v>0</v>
      </c>
      <c r="BF9" s="57">
        <v>0</v>
      </c>
      <c r="BG9" s="57">
        <v>0</v>
      </c>
      <c r="BH9" s="57">
        <v>0</v>
      </c>
      <c r="BI9" s="57">
        <v>0</v>
      </c>
      <c r="BJ9" s="57">
        <v>0</v>
      </c>
      <c r="BK9" s="57">
        <v>0</v>
      </c>
      <c r="BL9" s="57">
        <v>0</v>
      </c>
      <c r="BM9" s="57">
        <v>0</v>
      </c>
      <c r="BN9" s="57">
        <v>0</v>
      </c>
      <c r="BO9" s="57">
        <v>0</v>
      </c>
      <c r="BP9" s="57">
        <v>0</v>
      </c>
      <c r="BQ9" s="76">
        <v>205</v>
      </c>
      <c r="BR9" s="76">
        <v>204</v>
      </c>
      <c r="BS9">
        <v>197</v>
      </c>
      <c r="BT9">
        <v>197</v>
      </c>
      <c r="BU9">
        <v>195</v>
      </c>
      <c r="BV9">
        <v>24650</v>
      </c>
      <c r="BW9">
        <v>24253</v>
      </c>
      <c r="BX9">
        <v>23577</v>
      </c>
      <c r="BY9">
        <v>22971</v>
      </c>
      <c r="BZ9">
        <v>22197</v>
      </c>
      <c r="CA9">
        <v>37</v>
      </c>
      <c r="CB9">
        <v>33</v>
      </c>
      <c r="CC9" t="s">
        <v>350</v>
      </c>
      <c r="CD9" t="s">
        <v>350</v>
      </c>
      <c r="CE9" t="s">
        <v>350</v>
      </c>
      <c r="CF9">
        <v>3328</v>
      </c>
      <c r="CG9">
        <v>1688</v>
      </c>
      <c r="CH9">
        <v>1342</v>
      </c>
      <c r="CI9">
        <v>0</v>
      </c>
      <c r="CJ9">
        <v>0</v>
      </c>
      <c r="CK9" s="10">
        <v>65</v>
      </c>
      <c r="CL9" s="10">
        <v>65.099999999999994</v>
      </c>
      <c r="CM9" s="10">
        <v>65.099999999999994</v>
      </c>
      <c r="CN9" s="11">
        <v>17</v>
      </c>
      <c r="CO9" s="11">
        <v>16.989999999999998</v>
      </c>
      <c r="CP9" s="11">
        <v>16.989999999999998</v>
      </c>
      <c r="CQ9" s="13">
        <v>3</v>
      </c>
      <c r="CR9" s="13">
        <v>4</v>
      </c>
      <c r="CS9" s="13">
        <v>0</v>
      </c>
      <c r="CT9" s="10">
        <v>0</v>
      </c>
      <c r="CU9" s="10">
        <v>0</v>
      </c>
      <c r="CV9" s="10">
        <v>1</v>
      </c>
      <c r="CW9" s="10">
        <v>0</v>
      </c>
      <c r="CX9" s="10">
        <v>13</v>
      </c>
      <c r="CY9" s="10">
        <v>0</v>
      </c>
      <c r="CZ9" s="10">
        <v>0</v>
      </c>
      <c r="DA9" s="10">
        <v>0</v>
      </c>
      <c r="DB9" s="10">
        <v>0</v>
      </c>
      <c r="DC9" s="10">
        <v>0</v>
      </c>
      <c r="DD9" s="10">
        <v>0</v>
      </c>
      <c r="DE9" s="10">
        <v>0</v>
      </c>
      <c r="DF9" s="10">
        <v>0</v>
      </c>
      <c r="DG9" s="10">
        <v>0</v>
      </c>
      <c r="DH9" s="10">
        <v>1</v>
      </c>
      <c r="DI9" s="81">
        <v>0</v>
      </c>
      <c r="DJ9" s="81">
        <v>1</v>
      </c>
      <c r="DK9" s="81">
        <v>1</v>
      </c>
      <c r="DL9" s="81">
        <v>0</v>
      </c>
      <c r="DM9" s="81">
        <v>0</v>
      </c>
      <c r="DN9" s="12">
        <v>1</v>
      </c>
      <c r="DO9" s="12">
        <v>0</v>
      </c>
      <c r="DP9" s="12">
        <v>4</v>
      </c>
      <c r="DQ9" s="12">
        <v>0</v>
      </c>
      <c r="DR9" s="12">
        <v>0</v>
      </c>
      <c r="DS9" s="12">
        <v>0</v>
      </c>
      <c r="DT9" s="12">
        <v>0</v>
      </c>
      <c r="DU9" s="12">
        <v>0</v>
      </c>
      <c r="DV9" s="12">
        <v>9</v>
      </c>
      <c r="DW9" s="12">
        <v>7</v>
      </c>
      <c r="DX9" s="12">
        <v>0</v>
      </c>
      <c r="DY9" s="12">
        <v>1</v>
      </c>
      <c r="DZ9" s="12">
        <v>0</v>
      </c>
      <c r="EA9" s="12">
        <v>0</v>
      </c>
      <c r="EB9" s="12">
        <v>0</v>
      </c>
      <c r="EC9" s="12">
        <v>0</v>
      </c>
      <c r="ED9" s="12">
        <v>1</v>
      </c>
      <c r="EE9" s="12">
        <v>1</v>
      </c>
      <c r="EF9" s="12">
        <v>1</v>
      </c>
      <c r="EG9" s="12">
        <v>0</v>
      </c>
      <c r="EH9" s="12">
        <v>0</v>
      </c>
      <c r="EI9" s="12">
        <v>0</v>
      </c>
      <c r="EJ9" s="12">
        <v>0</v>
      </c>
      <c r="EK9" s="12">
        <v>0</v>
      </c>
      <c r="EL9" s="12">
        <v>2</v>
      </c>
      <c r="EM9" s="12">
        <v>0</v>
      </c>
      <c r="EN9" s="12">
        <v>0</v>
      </c>
      <c r="EO9" s="12">
        <v>10</v>
      </c>
      <c r="EP9" s="12">
        <v>3</v>
      </c>
      <c r="EQ9" s="12">
        <v>0</v>
      </c>
      <c r="ER9" s="12">
        <v>0</v>
      </c>
      <c r="ES9" s="13">
        <v>0</v>
      </c>
      <c r="ET9" s="13">
        <v>0</v>
      </c>
      <c r="EU9" s="13">
        <v>0</v>
      </c>
      <c r="EV9" s="10">
        <v>0</v>
      </c>
      <c r="EW9" s="10">
        <v>0</v>
      </c>
      <c r="EX9" s="10">
        <v>0</v>
      </c>
      <c r="EY9" s="10">
        <v>0</v>
      </c>
      <c r="EZ9" s="10">
        <v>0</v>
      </c>
      <c r="FA9" s="10">
        <v>0</v>
      </c>
      <c r="FB9" s="10">
        <v>0</v>
      </c>
      <c r="FC9" s="10">
        <v>0</v>
      </c>
      <c r="FD9" s="10">
        <v>0</v>
      </c>
      <c r="FE9" s="10">
        <v>0</v>
      </c>
      <c r="FF9" s="10">
        <v>0</v>
      </c>
      <c r="FG9" s="10">
        <v>0</v>
      </c>
      <c r="FH9" s="10">
        <v>0</v>
      </c>
      <c r="FI9" s="10">
        <v>0</v>
      </c>
      <c r="FJ9" s="10">
        <v>0</v>
      </c>
      <c r="FK9" s="81">
        <v>0</v>
      </c>
      <c r="FL9" s="81">
        <v>0</v>
      </c>
      <c r="FM9" s="81">
        <v>0</v>
      </c>
      <c r="FN9" s="81">
        <v>0</v>
      </c>
      <c r="FO9" s="81">
        <v>0</v>
      </c>
      <c r="FP9" s="12">
        <v>0</v>
      </c>
      <c r="FQ9" s="12">
        <v>0</v>
      </c>
      <c r="FR9" s="12">
        <v>0</v>
      </c>
      <c r="FS9" s="12">
        <v>0</v>
      </c>
      <c r="FT9" s="12">
        <v>0</v>
      </c>
      <c r="FU9" s="12">
        <v>0</v>
      </c>
      <c r="FV9" s="12">
        <v>0</v>
      </c>
      <c r="FW9" s="12">
        <v>0</v>
      </c>
      <c r="FX9" s="12">
        <v>0</v>
      </c>
      <c r="FY9" s="12">
        <v>0</v>
      </c>
      <c r="FZ9" s="12">
        <v>0</v>
      </c>
      <c r="GA9" s="12">
        <v>0</v>
      </c>
      <c r="GB9" s="12">
        <v>0</v>
      </c>
      <c r="GC9" s="12">
        <v>0</v>
      </c>
      <c r="GD9" s="12">
        <v>0</v>
      </c>
      <c r="GE9" s="12">
        <v>0</v>
      </c>
      <c r="GF9" s="12">
        <v>0</v>
      </c>
      <c r="GG9" s="12">
        <v>0</v>
      </c>
      <c r="GH9" s="12">
        <v>0</v>
      </c>
      <c r="GI9" s="12">
        <v>0</v>
      </c>
      <c r="GJ9" s="12">
        <v>0</v>
      </c>
      <c r="GK9" s="12">
        <v>0</v>
      </c>
      <c r="GL9" s="12">
        <v>0</v>
      </c>
      <c r="GM9" s="12">
        <v>0</v>
      </c>
      <c r="GN9" s="12">
        <v>0</v>
      </c>
      <c r="GO9" s="12">
        <v>0</v>
      </c>
      <c r="GP9" s="12">
        <v>0</v>
      </c>
      <c r="GQ9" s="12">
        <v>0</v>
      </c>
      <c r="GR9" s="12">
        <v>0</v>
      </c>
      <c r="GS9" s="12">
        <v>0</v>
      </c>
      <c r="GT9" s="12">
        <v>0</v>
      </c>
      <c r="GU9" s="13">
        <v>0</v>
      </c>
      <c r="GV9" s="13">
        <v>0</v>
      </c>
      <c r="GW9" s="13">
        <v>0</v>
      </c>
      <c r="GX9" s="13">
        <v>0</v>
      </c>
      <c r="GY9" s="10">
        <v>0</v>
      </c>
      <c r="GZ9" s="10">
        <v>0</v>
      </c>
      <c r="HA9" s="10">
        <v>0</v>
      </c>
      <c r="HB9" s="10">
        <v>0</v>
      </c>
      <c r="HC9" s="10">
        <v>0</v>
      </c>
      <c r="HD9" s="10">
        <v>0</v>
      </c>
      <c r="HE9" s="10">
        <v>0</v>
      </c>
      <c r="HF9" s="10">
        <v>0</v>
      </c>
      <c r="HG9" s="10">
        <v>0</v>
      </c>
      <c r="HH9" s="10">
        <v>0</v>
      </c>
      <c r="HI9" s="10">
        <v>0</v>
      </c>
      <c r="HJ9" s="10">
        <v>0</v>
      </c>
      <c r="HK9" s="10">
        <v>0</v>
      </c>
      <c r="HL9" s="10">
        <v>0</v>
      </c>
      <c r="HM9" s="10">
        <v>0</v>
      </c>
      <c r="HN9" s="81">
        <v>0</v>
      </c>
      <c r="HO9" s="81">
        <v>0</v>
      </c>
      <c r="HP9" s="81">
        <v>0</v>
      </c>
      <c r="HQ9" s="81">
        <v>0</v>
      </c>
      <c r="HR9" s="81">
        <v>0</v>
      </c>
      <c r="HS9" s="12">
        <v>0</v>
      </c>
      <c r="HT9" s="12">
        <v>0</v>
      </c>
      <c r="HU9" s="12">
        <v>0</v>
      </c>
      <c r="HV9" s="12">
        <v>0</v>
      </c>
      <c r="HW9" s="12">
        <v>0</v>
      </c>
      <c r="HX9" s="12">
        <v>0</v>
      </c>
      <c r="HY9" s="12">
        <v>0</v>
      </c>
      <c r="HZ9" s="12">
        <v>0</v>
      </c>
      <c r="IA9" s="12">
        <v>0</v>
      </c>
      <c r="IB9" s="12">
        <v>0</v>
      </c>
      <c r="IC9" s="12">
        <v>0</v>
      </c>
      <c r="ID9" s="12">
        <v>0</v>
      </c>
      <c r="IE9" s="12">
        <v>0</v>
      </c>
      <c r="IF9" s="12">
        <v>0</v>
      </c>
      <c r="IG9" s="12">
        <v>0</v>
      </c>
      <c r="IH9" s="12">
        <v>0</v>
      </c>
      <c r="II9" s="12">
        <v>0</v>
      </c>
      <c r="IJ9" s="12">
        <v>0</v>
      </c>
      <c r="IK9" s="12">
        <v>0</v>
      </c>
      <c r="IL9" s="12">
        <v>0</v>
      </c>
      <c r="IM9" s="12">
        <v>0</v>
      </c>
      <c r="IN9" s="12">
        <v>0</v>
      </c>
      <c r="IO9" s="12">
        <v>0</v>
      </c>
      <c r="IP9" s="12">
        <v>0</v>
      </c>
      <c r="IQ9" s="12">
        <v>0</v>
      </c>
      <c r="IR9" s="12">
        <v>0</v>
      </c>
      <c r="IS9" s="12">
        <v>0</v>
      </c>
      <c r="IT9" s="12">
        <v>0</v>
      </c>
      <c r="IU9" s="12">
        <v>0</v>
      </c>
      <c r="IV9" s="12">
        <v>0</v>
      </c>
      <c r="IW9" s="12">
        <v>0</v>
      </c>
      <c r="IX9" s="11" t="s">
        <v>350</v>
      </c>
      <c r="IY9" s="11" t="s">
        <v>350</v>
      </c>
      <c r="IZ9" s="11" t="s">
        <v>350</v>
      </c>
      <c r="JA9" s="85" t="s">
        <v>361</v>
      </c>
      <c r="JB9" s="85" t="s">
        <v>361</v>
      </c>
      <c r="JC9" s="85" t="s">
        <v>350</v>
      </c>
      <c r="JD9" s="12" t="s">
        <v>350</v>
      </c>
      <c r="JE9" s="12" t="s">
        <v>350</v>
      </c>
      <c r="JF9" s="12" t="s">
        <v>350</v>
      </c>
      <c r="JG9" s="12" t="s">
        <v>350</v>
      </c>
      <c r="JH9" s="12" t="s">
        <v>350</v>
      </c>
      <c r="JI9" s="12" t="s">
        <v>350</v>
      </c>
      <c r="JJ9" s="13" t="s">
        <v>350</v>
      </c>
      <c r="JK9" s="13" t="s">
        <v>620</v>
      </c>
      <c r="JL9" s="13" t="s">
        <v>350</v>
      </c>
      <c r="JM9" s="89"/>
      <c r="JN9" s="89"/>
      <c r="JO9" s="89" t="s">
        <v>350</v>
      </c>
      <c r="JP9" s="89"/>
      <c r="JQ9" s="89"/>
      <c r="JR9" s="89" t="s">
        <v>350</v>
      </c>
      <c r="JS9" s="89" t="s">
        <v>350</v>
      </c>
      <c r="JT9" s="89" t="s">
        <v>350</v>
      </c>
      <c r="JU9" s="89" t="s">
        <v>350</v>
      </c>
      <c r="JV9" s="89"/>
      <c r="JW9" s="89"/>
      <c r="JX9" s="89" t="s">
        <v>350</v>
      </c>
      <c r="JY9" s="12" t="s">
        <v>34</v>
      </c>
      <c r="JZ9" s="12" t="s">
        <v>34</v>
      </c>
      <c r="KA9" s="12" t="s">
        <v>34</v>
      </c>
      <c r="KB9" s="12" t="s">
        <v>34</v>
      </c>
      <c r="KC9" s="12" t="s">
        <v>34</v>
      </c>
      <c r="KD9" s="12" t="s">
        <v>34</v>
      </c>
      <c r="KE9" s="12" t="s">
        <v>34</v>
      </c>
      <c r="KF9" s="12"/>
      <c r="KG9" s="12" t="s">
        <v>34</v>
      </c>
      <c r="KH9" s="12" t="s">
        <v>34</v>
      </c>
      <c r="KI9" s="12" t="s">
        <v>34</v>
      </c>
      <c r="KJ9" s="12" t="s">
        <v>34</v>
      </c>
      <c r="KK9" s="12" t="s">
        <v>34</v>
      </c>
      <c r="KL9" s="12" t="s">
        <v>34</v>
      </c>
      <c r="KM9" s="12" t="s">
        <v>34</v>
      </c>
      <c r="KN9" s="12" t="s">
        <v>34</v>
      </c>
      <c r="KO9" s="12" t="s">
        <v>34</v>
      </c>
      <c r="KP9" s="12" t="s">
        <v>34</v>
      </c>
      <c r="KQ9" s="12" t="s">
        <v>34</v>
      </c>
      <c r="KR9" s="12" t="s">
        <v>34</v>
      </c>
      <c r="KS9" s="12" t="s">
        <v>34</v>
      </c>
      <c r="KT9" s="12" t="s">
        <v>34</v>
      </c>
      <c r="KU9" s="12" t="s">
        <v>34</v>
      </c>
      <c r="KV9" s="12" t="s">
        <v>34</v>
      </c>
      <c r="KW9" s="12" t="s">
        <v>34</v>
      </c>
      <c r="KX9" s="12" t="s">
        <v>34</v>
      </c>
      <c r="KY9" s="12" t="s">
        <v>34</v>
      </c>
      <c r="KZ9" s="12" t="s">
        <v>34</v>
      </c>
      <c r="LA9" s="12" t="s">
        <v>34</v>
      </c>
      <c r="LB9" s="12" t="s">
        <v>34</v>
      </c>
      <c r="LC9" s="12" t="s">
        <v>34</v>
      </c>
      <c r="LD9" s="12" t="s">
        <v>34</v>
      </c>
      <c r="LE9" s="12" t="s">
        <v>34</v>
      </c>
      <c r="LF9" s="12" t="s">
        <v>34</v>
      </c>
      <c r="LG9" s="12" t="s">
        <v>34</v>
      </c>
      <c r="LH9" s="12" t="s">
        <v>34</v>
      </c>
      <c r="LI9" s="12" t="s">
        <v>34</v>
      </c>
      <c r="LJ9" s="12" t="s">
        <v>34</v>
      </c>
      <c r="LK9" s="12" t="s">
        <v>34</v>
      </c>
      <c r="LL9" s="13" t="s">
        <v>34</v>
      </c>
      <c r="LM9" s="13" t="s">
        <v>34</v>
      </c>
      <c r="LN9" s="13" t="s">
        <v>34</v>
      </c>
      <c r="LO9" s="13" t="s">
        <v>34</v>
      </c>
      <c r="LP9" s="90" t="s">
        <v>34</v>
      </c>
      <c r="LQ9" s="13" t="s">
        <v>34</v>
      </c>
      <c r="LR9" s="13" t="s">
        <v>34</v>
      </c>
      <c r="LS9" s="13"/>
      <c r="LT9" s="13" t="s">
        <v>34</v>
      </c>
      <c r="LU9" s="13" t="s">
        <v>34</v>
      </c>
      <c r="LV9" s="13" t="s">
        <v>34</v>
      </c>
      <c r="LW9" s="13" t="s">
        <v>34</v>
      </c>
      <c r="LX9" s="13" t="s">
        <v>34</v>
      </c>
      <c r="LY9" s="13" t="s">
        <v>34</v>
      </c>
      <c r="LZ9" s="13" t="s">
        <v>34</v>
      </c>
      <c r="MA9" s="13" t="s">
        <v>34</v>
      </c>
      <c r="MB9" s="13" t="s">
        <v>34</v>
      </c>
      <c r="MC9" s="13" t="s">
        <v>34</v>
      </c>
      <c r="MD9" s="13" t="s">
        <v>34</v>
      </c>
      <c r="ME9" s="13" t="s">
        <v>34</v>
      </c>
      <c r="MF9" s="13" t="s">
        <v>34</v>
      </c>
      <c r="MG9" s="13" t="s">
        <v>34</v>
      </c>
      <c r="MH9" s="13" t="s">
        <v>34</v>
      </c>
      <c r="MI9" s="13" t="s">
        <v>34</v>
      </c>
      <c r="MJ9" s="13" t="s">
        <v>34</v>
      </c>
      <c r="MK9" s="13" t="s">
        <v>34</v>
      </c>
      <c r="ML9" s="13" t="s">
        <v>34</v>
      </c>
      <c r="MM9" s="13" t="s">
        <v>34</v>
      </c>
      <c r="MN9" s="13" t="s">
        <v>34</v>
      </c>
      <c r="MO9" s="13" t="s">
        <v>34</v>
      </c>
      <c r="MP9" s="13" t="s">
        <v>34</v>
      </c>
      <c r="MQ9" s="13" t="s">
        <v>34</v>
      </c>
      <c r="MR9" s="13" t="s">
        <v>34</v>
      </c>
      <c r="MS9" s="13" t="s">
        <v>34</v>
      </c>
      <c r="MT9" s="13" t="s">
        <v>34</v>
      </c>
      <c r="MU9" s="13" t="s">
        <v>34</v>
      </c>
      <c r="MV9" s="13" t="s">
        <v>34</v>
      </c>
      <c r="MW9" s="13" t="s">
        <v>34</v>
      </c>
      <c r="MX9" s="13" t="s">
        <v>34</v>
      </c>
      <c r="MY9" s="28" t="s">
        <v>350</v>
      </c>
      <c r="MZ9" s="28" t="s">
        <v>350</v>
      </c>
      <c r="NA9" s="28" t="s">
        <v>350</v>
      </c>
      <c r="NB9" s="28" t="s">
        <v>350</v>
      </c>
      <c r="NC9" s="28" t="s">
        <v>350</v>
      </c>
      <c r="ND9" s="28" t="s">
        <v>350</v>
      </c>
      <c r="NE9" s="28" t="s">
        <v>350</v>
      </c>
      <c r="NF9" s="28" t="s">
        <v>350</v>
      </c>
      <c r="NG9" s="28" t="s">
        <v>350</v>
      </c>
      <c r="NH9" s="28" t="s">
        <v>350</v>
      </c>
      <c r="NI9" s="177" t="s">
        <v>350</v>
      </c>
      <c r="NJ9" s="177" t="s">
        <v>350</v>
      </c>
      <c r="NK9" s="177" t="s">
        <v>350</v>
      </c>
      <c r="NL9" s="177" t="s">
        <v>350</v>
      </c>
      <c r="NM9" s="177" t="s">
        <v>350</v>
      </c>
      <c r="NN9" s="177" t="s">
        <v>350</v>
      </c>
      <c r="NO9" s="177" t="s">
        <v>350</v>
      </c>
      <c r="NP9" s="177" t="s">
        <v>350</v>
      </c>
      <c r="NQ9" s="177" t="s">
        <v>350</v>
      </c>
      <c r="NR9" s="12" t="s">
        <v>34</v>
      </c>
      <c r="NS9" s="13" t="s">
        <v>34</v>
      </c>
    </row>
    <row r="10" spans="1:383" x14ac:dyDescent="0.25">
      <c r="A10" s="8" t="s">
        <v>52</v>
      </c>
      <c r="B10" s="9" t="s">
        <v>53</v>
      </c>
      <c r="C10" s="9">
        <v>76</v>
      </c>
      <c r="D10" s="9" t="s">
        <v>54</v>
      </c>
      <c r="E10" s="10">
        <v>48</v>
      </c>
      <c r="F10" s="10">
        <v>50</v>
      </c>
      <c r="G10" s="10">
        <v>53</v>
      </c>
      <c r="H10" s="10">
        <v>48</v>
      </c>
      <c r="I10" s="10">
        <v>26</v>
      </c>
      <c r="J10" s="11">
        <v>225</v>
      </c>
      <c r="K10" s="11">
        <v>221</v>
      </c>
      <c r="L10" s="11">
        <v>243</v>
      </c>
      <c r="M10" s="11">
        <v>228</v>
      </c>
      <c r="N10" s="11">
        <v>116</v>
      </c>
      <c r="O10" s="13">
        <v>2781</v>
      </c>
      <c r="P10" s="13">
        <v>2955</v>
      </c>
      <c r="Q10" s="13">
        <v>2909</v>
      </c>
      <c r="R10" s="13">
        <v>2881</v>
      </c>
      <c r="S10" s="13">
        <v>1553</v>
      </c>
      <c r="T10" s="12">
        <v>366</v>
      </c>
      <c r="U10" s="12">
        <v>371</v>
      </c>
      <c r="V10" s="12">
        <v>323</v>
      </c>
      <c r="W10" s="12">
        <v>394</v>
      </c>
      <c r="X10" s="12">
        <v>158</v>
      </c>
      <c r="Y10" s="12">
        <v>3.85</v>
      </c>
      <c r="Z10" s="12">
        <v>3.85</v>
      </c>
      <c r="AA10" s="12">
        <v>3.85</v>
      </c>
      <c r="AB10" s="13">
        <v>3</v>
      </c>
      <c r="AC10" s="13">
        <v>3</v>
      </c>
      <c r="AD10" s="13">
        <v>3</v>
      </c>
      <c r="AE10" s="35" t="s">
        <v>258</v>
      </c>
      <c r="AF10" s="35" t="s">
        <v>258</v>
      </c>
      <c r="AG10" s="35" t="s">
        <v>258</v>
      </c>
      <c r="AH10" s="38">
        <v>1</v>
      </c>
      <c r="AI10" s="38">
        <v>1</v>
      </c>
      <c r="AJ10" s="38">
        <v>1</v>
      </c>
      <c r="AK10" s="45" t="s">
        <v>288</v>
      </c>
      <c r="AL10" s="45" t="s">
        <v>34</v>
      </c>
      <c r="AM10" s="45" t="s">
        <v>34</v>
      </c>
      <c r="AN10" s="45" t="s">
        <v>34</v>
      </c>
      <c r="AO10" s="45" t="s">
        <v>34</v>
      </c>
      <c r="AP10" s="45" t="s">
        <v>292</v>
      </c>
      <c r="AQ10" s="53" t="s">
        <v>297</v>
      </c>
      <c r="AR10" s="56">
        <v>42</v>
      </c>
      <c r="AS10" s="57">
        <v>22</v>
      </c>
      <c r="AT10" s="56">
        <v>10</v>
      </c>
      <c r="AU10" s="57">
        <v>7666</v>
      </c>
      <c r="AV10" s="57">
        <v>3455</v>
      </c>
      <c r="AW10" s="57">
        <v>1099</v>
      </c>
      <c r="AX10" s="57">
        <v>5</v>
      </c>
      <c r="AY10" s="57">
        <v>5</v>
      </c>
      <c r="AZ10" s="57">
        <v>0</v>
      </c>
      <c r="BA10" s="57">
        <v>90</v>
      </c>
      <c r="BB10" s="57">
        <v>345</v>
      </c>
      <c r="BC10" s="57">
        <v>221</v>
      </c>
      <c r="BD10" s="57">
        <v>358</v>
      </c>
      <c r="BE10" s="57">
        <v>1413</v>
      </c>
      <c r="BF10" s="57">
        <v>1684</v>
      </c>
      <c r="BG10" s="57">
        <v>0</v>
      </c>
      <c r="BH10" s="57">
        <v>22</v>
      </c>
      <c r="BI10" s="57">
        <v>1077</v>
      </c>
      <c r="BJ10" s="57" t="s">
        <v>296</v>
      </c>
      <c r="BK10" s="57">
        <v>15</v>
      </c>
      <c r="BL10" s="57">
        <v>0</v>
      </c>
      <c r="BM10" s="57">
        <v>0</v>
      </c>
      <c r="BN10" s="57">
        <v>250</v>
      </c>
      <c r="BO10" s="57">
        <v>150</v>
      </c>
      <c r="BP10" s="57">
        <v>125</v>
      </c>
      <c r="BQ10" s="76">
        <v>166</v>
      </c>
      <c r="BR10" s="76">
        <v>163</v>
      </c>
      <c r="BS10">
        <v>161</v>
      </c>
      <c r="BT10">
        <v>161</v>
      </c>
      <c r="BU10">
        <v>161</v>
      </c>
      <c r="BV10">
        <v>11881</v>
      </c>
      <c r="BW10">
        <v>11797</v>
      </c>
      <c r="BX10">
        <v>11505</v>
      </c>
      <c r="BY10">
        <v>11343</v>
      </c>
      <c r="BZ10">
        <v>11063</v>
      </c>
      <c r="CA10">
        <v>56</v>
      </c>
      <c r="CB10">
        <v>58</v>
      </c>
      <c r="CC10">
        <v>61</v>
      </c>
      <c r="CD10">
        <v>54</v>
      </c>
      <c r="CE10">
        <v>33</v>
      </c>
      <c r="CF10">
        <v>3147</v>
      </c>
      <c r="CG10">
        <v>3326</v>
      </c>
      <c r="CH10">
        <v>3232</v>
      </c>
      <c r="CI10">
        <v>3275</v>
      </c>
      <c r="CJ10">
        <v>1711</v>
      </c>
      <c r="CK10" s="10">
        <v>25</v>
      </c>
      <c r="CL10" s="10">
        <v>25</v>
      </c>
      <c r="CM10" s="10">
        <v>25</v>
      </c>
      <c r="CN10" s="11">
        <v>12</v>
      </c>
      <c r="CO10" s="11">
        <v>12</v>
      </c>
      <c r="CP10" s="11">
        <v>12</v>
      </c>
      <c r="CQ10" s="13">
        <v>2</v>
      </c>
      <c r="CR10" s="13">
        <v>8</v>
      </c>
      <c r="CS10" s="13">
        <v>2</v>
      </c>
      <c r="CT10" s="10">
        <v>0</v>
      </c>
      <c r="CU10" s="10">
        <v>0</v>
      </c>
      <c r="CV10" s="10">
        <v>4</v>
      </c>
      <c r="CW10" s="10">
        <v>0</v>
      </c>
      <c r="CX10" s="10">
        <v>1</v>
      </c>
      <c r="CY10" s="10">
        <v>0</v>
      </c>
      <c r="CZ10" s="10">
        <v>1</v>
      </c>
      <c r="DA10" s="10">
        <v>0</v>
      </c>
      <c r="DB10" s="10">
        <v>3</v>
      </c>
      <c r="DC10" s="10">
        <v>0</v>
      </c>
      <c r="DD10" s="10">
        <v>0</v>
      </c>
      <c r="DE10" s="10">
        <v>0</v>
      </c>
      <c r="DF10" s="10">
        <v>0</v>
      </c>
      <c r="DG10" s="10">
        <v>0</v>
      </c>
      <c r="DH10" s="10">
        <v>0</v>
      </c>
      <c r="DI10" s="81">
        <v>0</v>
      </c>
      <c r="DJ10" s="81">
        <v>2</v>
      </c>
      <c r="DK10" s="81">
        <v>3</v>
      </c>
      <c r="DL10" s="81">
        <v>0</v>
      </c>
      <c r="DM10" s="81">
        <v>0</v>
      </c>
      <c r="DN10" s="12">
        <v>0</v>
      </c>
      <c r="DO10" s="12">
        <v>0</v>
      </c>
      <c r="DP10" s="12">
        <v>2</v>
      </c>
      <c r="DQ10" s="12">
        <v>0</v>
      </c>
      <c r="DR10" s="12">
        <v>1</v>
      </c>
      <c r="DS10" s="12">
        <v>0</v>
      </c>
      <c r="DT10" s="12">
        <v>0</v>
      </c>
      <c r="DU10" s="12">
        <v>0</v>
      </c>
      <c r="DV10" s="12">
        <v>8</v>
      </c>
      <c r="DW10" s="12">
        <v>2</v>
      </c>
      <c r="DX10" s="12">
        <v>2</v>
      </c>
      <c r="DY10" s="12">
        <v>6</v>
      </c>
      <c r="DZ10" s="12">
        <v>1</v>
      </c>
      <c r="EA10" s="12">
        <v>0</v>
      </c>
      <c r="EB10" s="12">
        <v>5</v>
      </c>
      <c r="EC10" s="12">
        <v>1</v>
      </c>
      <c r="ED10" s="12">
        <v>0</v>
      </c>
      <c r="EE10" s="12">
        <v>0</v>
      </c>
      <c r="EF10" s="12">
        <v>2</v>
      </c>
      <c r="EG10" s="12">
        <v>0</v>
      </c>
      <c r="EH10" s="12">
        <v>1</v>
      </c>
      <c r="EI10" s="12">
        <v>3</v>
      </c>
      <c r="EJ10" s="12">
        <v>1</v>
      </c>
      <c r="EK10" s="12">
        <v>0</v>
      </c>
      <c r="EL10" s="12">
        <v>4</v>
      </c>
      <c r="EM10" s="12">
        <v>4</v>
      </c>
      <c r="EN10" s="12">
        <v>1</v>
      </c>
      <c r="EO10" s="12">
        <v>0</v>
      </c>
      <c r="EP10" s="12">
        <v>2</v>
      </c>
      <c r="EQ10" s="12">
        <v>6</v>
      </c>
      <c r="ER10" s="12">
        <v>0</v>
      </c>
      <c r="ES10" s="13">
        <v>6</v>
      </c>
      <c r="ET10" s="13">
        <v>1</v>
      </c>
      <c r="EU10" s="13">
        <v>0</v>
      </c>
      <c r="EV10" s="10">
        <v>0</v>
      </c>
      <c r="EW10" s="10">
        <v>0</v>
      </c>
      <c r="EX10" s="10">
        <v>2</v>
      </c>
      <c r="EY10" s="10">
        <v>6</v>
      </c>
      <c r="EZ10" s="10">
        <v>0</v>
      </c>
      <c r="FA10" s="10">
        <v>0</v>
      </c>
      <c r="FB10" s="10">
        <v>1</v>
      </c>
      <c r="FC10" s="10">
        <v>0</v>
      </c>
      <c r="FD10" s="10">
        <v>1</v>
      </c>
      <c r="FE10" s="10">
        <v>0</v>
      </c>
      <c r="FF10" s="10">
        <v>0</v>
      </c>
      <c r="FG10" s="10">
        <v>0</v>
      </c>
      <c r="FH10" s="10">
        <v>0</v>
      </c>
      <c r="FI10" s="10">
        <v>0</v>
      </c>
      <c r="FJ10" s="10">
        <v>0</v>
      </c>
      <c r="FK10" s="81">
        <v>0</v>
      </c>
      <c r="FL10" s="81">
        <v>4</v>
      </c>
      <c r="FM10" s="81">
        <v>3</v>
      </c>
      <c r="FN10" s="81">
        <v>0</v>
      </c>
      <c r="FO10" s="81">
        <v>1</v>
      </c>
      <c r="FP10" s="12">
        <v>1</v>
      </c>
      <c r="FQ10" s="12">
        <v>0</v>
      </c>
      <c r="FR10" s="12">
        <v>1</v>
      </c>
      <c r="FS10" s="12">
        <v>0</v>
      </c>
      <c r="FT10" s="12">
        <v>0</v>
      </c>
      <c r="FU10" s="12">
        <v>0</v>
      </c>
      <c r="FV10" s="12">
        <v>0</v>
      </c>
      <c r="FW10" s="12">
        <v>0</v>
      </c>
      <c r="FX10" s="12">
        <v>3</v>
      </c>
      <c r="FY10" s="12">
        <v>3</v>
      </c>
      <c r="FZ10" s="12">
        <v>0</v>
      </c>
      <c r="GA10" s="12">
        <v>0</v>
      </c>
      <c r="GB10" s="12">
        <v>0</v>
      </c>
      <c r="GC10" s="12">
        <v>0</v>
      </c>
      <c r="GD10" s="12">
        <v>2</v>
      </c>
      <c r="GE10" s="12">
        <v>0</v>
      </c>
      <c r="GF10" s="12">
        <v>4</v>
      </c>
      <c r="GG10" s="12">
        <v>0</v>
      </c>
      <c r="GH10" s="12">
        <v>4</v>
      </c>
      <c r="GI10" s="12">
        <v>2</v>
      </c>
      <c r="GJ10" s="12">
        <v>0</v>
      </c>
      <c r="GK10" s="12">
        <v>1</v>
      </c>
      <c r="GL10" s="12">
        <v>0</v>
      </c>
      <c r="GM10" s="12">
        <v>2</v>
      </c>
      <c r="GN10" s="12">
        <v>2</v>
      </c>
      <c r="GO10" s="12">
        <v>4</v>
      </c>
      <c r="GP10" s="12">
        <v>0</v>
      </c>
      <c r="GQ10" s="12">
        <v>0</v>
      </c>
      <c r="GR10" s="12">
        <v>0</v>
      </c>
      <c r="GS10" s="12">
        <v>2</v>
      </c>
      <c r="GT10" s="12">
        <v>0</v>
      </c>
      <c r="GU10" s="13">
        <v>22</v>
      </c>
      <c r="GV10" s="13">
        <v>4</v>
      </c>
      <c r="GW10" s="13">
        <v>0</v>
      </c>
      <c r="GX10" s="13">
        <v>0</v>
      </c>
      <c r="GY10" s="10">
        <v>0</v>
      </c>
      <c r="GZ10" s="10">
        <v>0</v>
      </c>
      <c r="HA10" s="10">
        <v>4</v>
      </c>
      <c r="HB10" s="10">
        <v>5</v>
      </c>
      <c r="HC10" s="10">
        <v>0</v>
      </c>
      <c r="HD10" s="10">
        <v>0</v>
      </c>
      <c r="HE10" s="10">
        <v>0</v>
      </c>
      <c r="HF10" s="10">
        <v>0</v>
      </c>
      <c r="HG10" s="10">
        <v>0</v>
      </c>
      <c r="HH10" s="10">
        <v>0</v>
      </c>
      <c r="HI10" s="10">
        <v>0</v>
      </c>
      <c r="HJ10" s="10">
        <v>0</v>
      </c>
      <c r="HK10" s="10">
        <v>0</v>
      </c>
      <c r="HL10" s="10">
        <v>0</v>
      </c>
      <c r="HM10" s="10">
        <v>1</v>
      </c>
      <c r="HN10" s="81">
        <v>0</v>
      </c>
      <c r="HO10" s="81">
        <v>0</v>
      </c>
      <c r="HP10" s="81">
        <v>1</v>
      </c>
      <c r="HQ10" s="81">
        <v>1</v>
      </c>
      <c r="HR10" s="81">
        <v>0</v>
      </c>
      <c r="HS10" s="12">
        <v>0</v>
      </c>
      <c r="HT10" s="12">
        <v>0</v>
      </c>
      <c r="HU10" s="12">
        <v>0</v>
      </c>
      <c r="HV10" s="12">
        <v>0</v>
      </c>
      <c r="HW10" s="12">
        <v>0</v>
      </c>
      <c r="HX10" s="12">
        <v>0</v>
      </c>
      <c r="HY10" s="12">
        <v>0</v>
      </c>
      <c r="HZ10" s="12">
        <v>0</v>
      </c>
      <c r="IA10" s="12">
        <v>0</v>
      </c>
      <c r="IB10" s="12">
        <v>1</v>
      </c>
      <c r="IC10" s="12">
        <v>4</v>
      </c>
      <c r="ID10" s="12">
        <v>0</v>
      </c>
      <c r="IE10" s="12">
        <v>0</v>
      </c>
      <c r="IF10" s="12">
        <v>0</v>
      </c>
      <c r="IG10" s="12">
        <v>3</v>
      </c>
      <c r="IH10" s="12">
        <v>0</v>
      </c>
      <c r="II10" s="12">
        <v>3</v>
      </c>
      <c r="IJ10" s="12">
        <v>0</v>
      </c>
      <c r="IK10" s="12">
        <v>0</v>
      </c>
      <c r="IL10" s="12">
        <v>0</v>
      </c>
      <c r="IM10" s="12">
        <v>0</v>
      </c>
      <c r="IN10" s="12">
        <v>0</v>
      </c>
      <c r="IO10" s="12">
        <v>0</v>
      </c>
      <c r="IP10" s="12">
        <v>0</v>
      </c>
      <c r="IQ10" s="12">
        <v>0</v>
      </c>
      <c r="IR10" s="12">
        <v>1</v>
      </c>
      <c r="IS10" s="12">
        <v>1</v>
      </c>
      <c r="IT10" s="12">
        <v>0</v>
      </c>
      <c r="IU10" s="12">
        <v>1</v>
      </c>
      <c r="IV10" s="12">
        <v>0</v>
      </c>
      <c r="IW10" s="12">
        <v>0</v>
      </c>
      <c r="IX10" s="11">
        <v>16000</v>
      </c>
      <c r="IY10" s="11">
        <v>12500</v>
      </c>
      <c r="IZ10" s="11">
        <v>12800</v>
      </c>
      <c r="JA10" s="85" t="s">
        <v>602</v>
      </c>
      <c r="JB10" s="85">
        <v>0</v>
      </c>
      <c r="JC10" s="85">
        <v>0</v>
      </c>
      <c r="JD10" s="12">
        <v>4</v>
      </c>
      <c r="JE10" s="12">
        <v>0</v>
      </c>
      <c r="JF10" s="12">
        <v>4</v>
      </c>
      <c r="JG10" s="12">
        <v>2</v>
      </c>
      <c r="JH10" s="12">
        <v>4</v>
      </c>
      <c r="JI10" s="12">
        <v>0</v>
      </c>
      <c r="JJ10" s="13" t="s">
        <v>619</v>
      </c>
      <c r="JK10" s="13" t="s">
        <v>350</v>
      </c>
      <c r="JL10" s="13" t="s">
        <v>296</v>
      </c>
      <c r="JM10" s="89"/>
      <c r="JN10" s="89"/>
      <c r="JO10" s="89" t="s">
        <v>296</v>
      </c>
      <c r="JP10" s="89"/>
      <c r="JQ10" s="89"/>
      <c r="JR10" s="89" t="s">
        <v>296</v>
      </c>
      <c r="JS10" s="89" t="s">
        <v>619</v>
      </c>
      <c r="JT10" s="89" t="s">
        <v>619</v>
      </c>
      <c r="JU10" s="89" t="s">
        <v>296</v>
      </c>
      <c r="JV10" s="89"/>
      <c r="JW10" s="89"/>
      <c r="JX10" s="89" t="s">
        <v>296</v>
      </c>
      <c r="JY10" s="12" t="s">
        <v>34</v>
      </c>
      <c r="JZ10" s="12" t="s">
        <v>34</v>
      </c>
      <c r="KA10" s="12" t="s">
        <v>34</v>
      </c>
      <c r="KB10" s="12" t="s">
        <v>34</v>
      </c>
      <c r="KC10" s="12" t="s">
        <v>619</v>
      </c>
      <c r="KD10" s="12" t="s">
        <v>34</v>
      </c>
      <c r="KE10" s="12" t="s">
        <v>34</v>
      </c>
      <c r="KF10" s="12"/>
      <c r="KG10" s="12" t="s">
        <v>34</v>
      </c>
      <c r="KH10" s="12" t="s">
        <v>34</v>
      </c>
      <c r="KI10" s="12" t="s">
        <v>34</v>
      </c>
      <c r="KJ10" s="12" t="s">
        <v>34</v>
      </c>
      <c r="KK10" s="12" t="s">
        <v>34</v>
      </c>
      <c r="KL10" s="12" t="s">
        <v>34</v>
      </c>
      <c r="KM10" s="12" t="s">
        <v>34</v>
      </c>
      <c r="KN10" s="12" t="s">
        <v>619</v>
      </c>
      <c r="KO10" s="12" t="s">
        <v>619</v>
      </c>
      <c r="KP10" s="12" t="s">
        <v>34</v>
      </c>
      <c r="KQ10" s="12" t="s">
        <v>34</v>
      </c>
      <c r="KR10" s="12" t="s">
        <v>619</v>
      </c>
      <c r="KS10" s="12" t="s">
        <v>34</v>
      </c>
      <c r="KT10" s="12" t="s">
        <v>34</v>
      </c>
      <c r="KU10" s="12" t="s">
        <v>34</v>
      </c>
      <c r="KV10" s="12" t="s">
        <v>34</v>
      </c>
      <c r="KW10" s="12" t="s">
        <v>34</v>
      </c>
      <c r="KX10" s="12" t="s">
        <v>34</v>
      </c>
      <c r="KY10" s="12" t="s">
        <v>34</v>
      </c>
      <c r="KZ10" s="12" t="s">
        <v>34</v>
      </c>
      <c r="LA10" s="12" t="s">
        <v>34</v>
      </c>
      <c r="LB10" s="12" t="s">
        <v>34</v>
      </c>
      <c r="LC10" s="12" t="s">
        <v>34</v>
      </c>
      <c r="LD10" s="12" t="s">
        <v>34</v>
      </c>
      <c r="LE10" s="12" t="s">
        <v>34</v>
      </c>
      <c r="LF10" s="12" t="s">
        <v>34</v>
      </c>
      <c r="LG10" s="12" t="s">
        <v>34</v>
      </c>
      <c r="LH10" s="12" t="s">
        <v>34</v>
      </c>
      <c r="LI10" s="12" t="s">
        <v>619</v>
      </c>
      <c r="LJ10" s="12" t="s">
        <v>619</v>
      </c>
      <c r="LK10" s="12" t="s">
        <v>619</v>
      </c>
      <c r="LL10" s="13" t="s">
        <v>34</v>
      </c>
      <c r="LM10" s="13" t="s">
        <v>34</v>
      </c>
      <c r="LN10" s="13" t="s">
        <v>34</v>
      </c>
      <c r="LO10" s="13" t="s">
        <v>34</v>
      </c>
      <c r="LP10" s="90" t="s">
        <v>34</v>
      </c>
      <c r="LQ10" s="13" t="s">
        <v>34</v>
      </c>
      <c r="LR10" s="13" t="s">
        <v>34</v>
      </c>
      <c r="LS10" s="13"/>
      <c r="LT10" s="13" t="s">
        <v>34</v>
      </c>
      <c r="LU10" s="13" t="s">
        <v>34</v>
      </c>
      <c r="LV10" s="13" t="s">
        <v>34</v>
      </c>
      <c r="LW10" s="13" t="s">
        <v>34</v>
      </c>
      <c r="LX10" s="13" t="s">
        <v>34</v>
      </c>
      <c r="LY10" s="13" t="s">
        <v>34</v>
      </c>
      <c r="LZ10" s="13" t="s">
        <v>34</v>
      </c>
      <c r="MA10" s="13" t="s">
        <v>619</v>
      </c>
      <c r="MB10" s="13" t="s">
        <v>619</v>
      </c>
      <c r="MC10" s="13" t="s">
        <v>34</v>
      </c>
      <c r="MD10" s="13" t="s">
        <v>34</v>
      </c>
      <c r="ME10" s="13" t="s">
        <v>619</v>
      </c>
      <c r="MF10" s="13" t="s">
        <v>34</v>
      </c>
      <c r="MG10" s="13" t="s">
        <v>34</v>
      </c>
      <c r="MH10" s="13" t="s">
        <v>34</v>
      </c>
      <c r="MI10" s="13" t="s">
        <v>34</v>
      </c>
      <c r="MJ10" s="13" t="s">
        <v>34</v>
      </c>
      <c r="MK10" s="13" t="s">
        <v>34</v>
      </c>
      <c r="ML10" s="13" t="s">
        <v>34</v>
      </c>
      <c r="MM10" s="13" t="s">
        <v>34</v>
      </c>
      <c r="MN10" s="13" t="s">
        <v>34</v>
      </c>
      <c r="MO10" s="13" t="s">
        <v>619</v>
      </c>
      <c r="MP10" s="13" t="s">
        <v>34</v>
      </c>
      <c r="MQ10" s="13" t="s">
        <v>34</v>
      </c>
      <c r="MR10" s="13" t="s">
        <v>34</v>
      </c>
      <c r="MS10" s="13" t="s">
        <v>34</v>
      </c>
      <c r="MT10" s="13" t="s">
        <v>34</v>
      </c>
      <c r="MU10" s="13" t="s">
        <v>34</v>
      </c>
      <c r="MV10" s="13" t="s">
        <v>34</v>
      </c>
      <c r="MW10" s="13" t="s">
        <v>619</v>
      </c>
      <c r="MX10" s="13" t="s">
        <v>619</v>
      </c>
      <c r="MY10" s="28" t="s">
        <v>296</v>
      </c>
      <c r="MZ10" s="28" t="s">
        <v>296</v>
      </c>
      <c r="NA10" s="28" t="s">
        <v>297</v>
      </c>
      <c r="NB10" s="28" t="s">
        <v>296</v>
      </c>
      <c r="NC10" s="28" t="s">
        <v>296</v>
      </c>
      <c r="ND10" s="28" t="s">
        <v>296</v>
      </c>
      <c r="NE10" s="28" t="s">
        <v>296</v>
      </c>
      <c r="NF10" s="28" t="s">
        <v>297</v>
      </c>
      <c r="NG10" s="28" t="s">
        <v>297</v>
      </c>
      <c r="NH10" s="28" t="s">
        <v>297</v>
      </c>
      <c r="NI10" s="177" t="s">
        <v>296</v>
      </c>
      <c r="NJ10" s="177" t="s">
        <v>297</v>
      </c>
      <c r="NK10" s="177" t="s">
        <v>296</v>
      </c>
      <c r="NL10" s="177" t="s">
        <v>297</v>
      </c>
      <c r="NM10" s="177" t="s">
        <v>296</v>
      </c>
      <c r="NN10" s="177" t="s">
        <v>296</v>
      </c>
      <c r="NO10" s="177" t="s">
        <v>296</v>
      </c>
      <c r="NP10" s="177" t="s">
        <v>297</v>
      </c>
      <c r="NQ10" s="177" t="s">
        <v>297</v>
      </c>
      <c r="NR10" s="12" t="s">
        <v>34</v>
      </c>
      <c r="NS10" s="13" t="s">
        <v>34</v>
      </c>
    </row>
    <row r="11" spans="1:383" x14ac:dyDescent="0.25">
      <c r="A11" s="8" t="s">
        <v>55</v>
      </c>
      <c r="B11" s="9" t="s">
        <v>56</v>
      </c>
      <c r="C11" s="9">
        <v>44</v>
      </c>
      <c r="D11" s="9" t="s">
        <v>51</v>
      </c>
      <c r="E11" s="10">
        <v>27</v>
      </c>
      <c r="F11" s="10">
        <v>21</v>
      </c>
      <c r="G11" s="10">
        <v>18</v>
      </c>
      <c r="H11" s="10">
        <v>20</v>
      </c>
      <c r="I11" s="10">
        <v>12</v>
      </c>
      <c r="J11" s="11">
        <v>143</v>
      </c>
      <c r="K11" s="11">
        <v>145</v>
      </c>
      <c r="L11" s="11">
        <v>115</v>
      </c>
      <c r="M11" s="11">
        <v>104</v>
      </c>
      <c r="N11" s="11">
        <v>84</v>
      </c>
      <c r="O11" s="13">
        <v>1501</v>
      </c>
      <c r="P11" s="13">
        <v>1460</v>
      </c>
      <c r="Q11" s="13">
        <v>2299</v>
      </c>
      <c r="R11" s="13">
        <v>1962</v>
      </c>
      <c r="S11" s="13">
        <v>1322</v>
      </c>
      <c r="T11" s="12">
        <v>156</v>
      </c>
      <c r="U11" s="12">
        <v>125</v>
      </c>
      <c r="V11" s="12">
        <v>62</v>
      </c>
      <c r="W11" s="12">
        <v>44</v>
      </c>
      <c r="X11" s="12">
        <v>24</v>
      </c>
      <c r="Y11" s="12">
        <v>5</v>
      </c>
      <c r="Z11" s="12">
        <v>5</v>
      </c>
      <c r="AA11" s="12">
        <v>5</v>
      </c>
      <c r="AB11" s="13">
        <v>5</v>
      </c>
      <c r="AC11" s="13">
        <v>5</v>
      </c>
      <c r="AD11" s="13">
        <v>5</v>
      </c>
      <c r="AE11" s="35" t="s">
        <v>259</v>
      </c>
      <c r="AF11" s="35" t="s">
        <v>259</v>
      </c>
      <c r="AG11" s="35" t="s">
        <v>259</v>
      </c>
      <c r="AH11" s="38">
        <v>1</v>
      </c>
      <c r="AI11" s="38">
        <v>1</v>
      </c>
      <c r="AJ11" s="38">
        <v>1</v>
      </c>
      <c r="AK11" s="45" t="s">
        <v>288</v>
      </c>
      <c r="AL11" s="45" t="s">
        <v>34</v>
      </c>
      <c r="AM11" s="45" t="s">
        <v>34</v>
      </c>
      <c r="AN11" s="45" t="s">
        <v>293</v>
      </c>
      <c r="AO11" s="45" t="s">
        <v>34</v>
      </c>
      <c r="AP11" s="45" t="s">
        <v>292</v>
      </c>
      <c r="AQ11" s="53" t="s">
        <v>297</v>
      </c>
      <c r="AR11" s="56">
        <v>43</v>
      </c>
      <c r="AS11" s="57">
        <v>7</v>
      </c>
      <c r="AT11" s="56">
        <v>23</v>
      </c>
      <c r="AU11" s="57">
        <v>6187</v>
      </c>
      <c r="AV11" s="57">
        <v>1668</v>
      </c>
      <c r="AW11" s="57">
        <v>2378</v>
      </c>
      <c r="AX11" s="57">
        <v>1</v>
      </c>
      <c r="AY11" s="57">
        <v>0</v>
      </c>
      <c r="AZ11" s="57">
        <v>0</v>
      </c>
      <c r="BA11" s="57">
        <v>63</v>
      </c>
      <c r="BB11" s="57">
        <v>3321</v>
      </c>
      <c r="BC11" s="57">
        <v>2496</v>
      </c>
      <c r="BD11" s="57">
        <v>15</v>
      </c>
      <c r="BE11" s="57">
        <v>828</v>
      </c>
      <c r="BF11" s="57">
        <v>825</v>
      </c>
      <c r="BG11" s="57">
        <v>0</v>
      </c>
      <c r="BH11" s="57">
        <v>1079</v>
      </c>
      <c r="BI11" s="57">
        <v>1299</v>
      </c>
      <c r="BJ11" s="57" t="s">
        <v>297</v>
      </c>
      <c r="BK11" s="57">
        <v>30</v>
      </c>
      <c r="BL11" s="57">
        <v>3</v>
      </c>
      <c r="BM11" s="57">
        <v>6</v>
      </c>
      <c r="BN11" s="57">
        <v>50</v>
      </c>
      <c r="BO11" s="57">
        <v>200</v>
      </c>
      <c r="BP11" s="57">
        <v>250</v>
      </c>
      <c r="BQ11" s="76">
        <v>278</v>
      </c>
      <c r="BR11" s="76">
        <v>274</v>
      </c>
      <c r="BS11">
        <v>252</v>
      </c>
      <c r="BT11">
        <v>252</v>
      </c>
      <c r="BU11">
        <v>249</v>
      </c>
      <c r="BV11">
        <v>28026</v>
      </c>
      <c r="BW11">
        <v>27507</v>
      </c>
      <c r="BX11">
        <v>27325</v>
      </c>
      <c r="BY11">
        <v>26791</v>
      </c>
      <c r="BZ11">
        <v>26155</v>
      </c>
      <c r="CA11">
        <v>34</v>
      </c>
      <c r="CB11">
        <v>25</v>
      </c>
      <c r="CC11">
        <v>19</v>
      </c>
      <c r="CD11">
        <v>16</v>
      </c>
      <c r="CE11">
        <v>44</v>
      </c>
      <c r="CF11">
        <v>1657</v>
      </c>
      <c r="CG11">
        <v>1585</v>
      </c>
      <c r="CH11">
        <v>2361</v>
      </c>
      <c r="CI11">
        <v>2006</v>
      </c>
      <c r="CJ11">
        <v>1346</v>
      </c>
      <c r="CK11" s="10">
        <v>35</v>
      </c>
      <c r="CL11" s="10">
        <v>35</v>
      </c>
      <c r="CM11" s="10">
        <v>35</v>
      </c>
      <c r="CN11" s="11">
        <v>25</v>
      </c>
      <c r="CO11" s="11">
        <v>25</v>
      </c>
      <c r="CP11" s="11">
        <v>25</v>
      </c>
      <c r="CQ11" s="13">
        <v>2</v>
      </c>
      <c r="CR11" s="13">
        <v>2</v>
      </c>
      <c r="CS11" s="13">
        <v>0</v>
      </c>
      <c r="CT11" s="10">
        <v>0</v>
      </c>
      <c r="CU11" s="10">
        <v>0</v>
      </c>
      <c r="CV11" s="10">
        <v>2</v>
      </c>
      <c r="CW11" s="10">
        <v>7</v>
      </c>
      <c r="CX11" s="10">
        <v>8</v>
      </c>
      <c r="CY11" s="10">
        <v>0</v>
      </c>
      <c r="CZ11" s="10">
        <v>0</v>
      </c>
      <c r="DA11" s="10">
        <v>0</v>
      </c>
      <c r="DB11" s="10">
        <v>0</v>
      </c>
      <c r="DC11" s="10">
        <v>0</v>
      </c>
      <c r="DD11" s="10">
        <v>0</v>
      </c>
      <c r="DE11" s="10">
        <v>0</v>
      </c>
      <c r="DF11" s="10">
        <v>0</v>
      </c>
      <c r="DG11" s="10">
        <v>0</v>
      </c>
      <c r="DH11" s="10">
        <v>0</v>
      </c>
      <c r="DI11" s="81">
        <v>0</v>
      </c>
      <c r="DJ11" s="81">
        <v>0</v>
      </c>
      <c r="DK11" s="81">
        <v>0</v>
      </c>
      <c r="DL11" s="81">
        <v>0</v>
      </c>
      <c r="DM11" s="81">
        <v>3</v>
      </c>
      <c r="DN11" s="12">
        <v>0</v>
      </c>
      <c r="DO11" s="12">
        <v>4</v>
      </c>
      <c r="DP11" s="12">
        <v>0</v>
      </c>
      <c r="DQ11" s="12">
        <v>0</v>
      </c>
      <c r="DR11" s="12">
        <v>0</v>
      </c>
      <c r="DS11" s="12">
        <v>0</v>
      </c>
      <c r="DT11" s="12">
        <v>0</v>
      </c>
      <c r="DU11" s="12">
        <v>0</v>
      </c>
      <c r="DV11" s="12">
        <v>1</v>
      </c>
      <c r="DW11" s="12">
        <v>1</v>
      </c>
      <c r="DX11" s="12">
        <v>0</v>
      </c>
      <c r="DY11" s="12">
        <v>0</v>
      </c>
      <c r="DZ11" s="12">
        <v>1</v>
      </c>
      <c r="EA11" s="12">
        <v>0</v>
      </c>
      <c r="EB11" s="12">
        <v>0</v>
      </c>
      <c r="EC11" s="12">
        <v>0</v>
      </c>
      <c r="ED11" s="12">
        <v>0</v>
      </c>
      <c r="EE11" s="12">
        <v>1</v>
      </c>
      <c r="EF11" s="12">
        <v>4</v>
      </c>
      <c r="EG11" s="12">
        <v>0</v>
      </c>
      <c r="EH11" s="12">
        <v>0</v>
      </c>
      <c r="EI11" s="12">
        <v>0</v>
      </c>
      <c r="EJ11" s="12">
        <v>0</v>
      </c>
      <c r="EK11" s="12">
        <v>0</v>
      </c>
      <c r="EL11" s="12">
        <v>1</v>
      </c>
      <c r="EM11" s="12">
        <v>1</v>
      </c>
      <c r="EN11" s="12">
        <v>0</v>
      </c>
      <c r="EO11" s="12">
        <v>0</v>
      </c>
      <c r="EP11" s="12">
        <v>0</v>
      </c>
      <c r="EQ11" s="12">
        <v>1</v>
      </c>
      <c r="ER11" s="12">
        <v>0</v>
      </c>
      <c r="ES11" s="13">
        <v>0</v>
      </c>
      <c r="ET11" s="13">
        <v>0</v>
      </c>
      <c r="EU11" s="13">
        <v>0</v>
      </c>
      <c r="EV11" s="10">
        <v>0</v>
      </c>
      <c r="EW11" s="10">
        <v>0</v>
      </c>
      <c r="EX11" s="10">
        <v>0</v>
      </c>
      <c r="EY11" s="10">
        <v>3</v>
      </c>
      <c r="EZ11" s="10">
        <v>0</v>
      </c>
      <c r="FA11" s="10">
        <v>0</v>
      </c>
      <c r="FB11" s="10">
        <v>0</v>
      </c>
      <c r="FC11" s="10">
        <v>0</v>
      </c>
      <c r="FD11" s="10">
        <v>0</v>
      </c>
      <c r="FE11" s="10">
        <v>0</v>
      </c>
      <c r="FF11" s="10">
        <v>0</v>
      </c>
      <c r="FG11" s="10">
        <v>0</v>
      </c>
      <c r="FH11" s="10">
        <v>0</v>
      </c>
      <c r="FI11" s="10">
        <v>0</v>
      </c>
      <c r="FJ11" s="10">
        <v>0</v>
      </c>
      <c r="FK11" s="81">
        <v>0</v>
      </c>
      <c r="FL11" s="81">
        <v>0</v>
      </c>
      <c r="FM11" s="81">
        <v>0</v>
      </c>
      <c r="FN11" s="81">
        <v>0</v>
      </c>
      <c r="FO11" s="81">
        <v>2</v>
      </c>
      <c r="FP11" s="12">
        <v>0</v>
      </c>
      <c r="FQ11" s="12">
        <v>0</v>
      </c>
      <c r="FR11" s="12">
        <v>0</v>
      </c>
      <c r="FS11" s="12">
        <v>0</v>
      </c>
      <c r="FT11" s="12">
        <v>0</v>
      </c>
      <c r="FU11" s="12">
        <v>0</v>
      </c>
      <c r="FV11" s="12">
        <v>0</v>
      </c>
      <c r="FW11" s="12">
        <v>0</v>
      </c>
      <c r="FX11" s="12">
        <v>1</v>
      </c>
      <c r="FY11" s="12">
        <v>0</v>
      </c>
      <c r="FZ11" s="12">
        <v>0</v>
      </c>
      <c r="GA11" s="12">
        <v>0</v>
      </c>
      <c r="GB11" s="12">
        <v>0</v>
      </c>
      <c r="GC11" s="12">
        <v>0</v>
      </c>
      <c r="GD11" s="12">
        <v>0</v>
      </c>
      <c r="GE11" s="12">
        <v>0</v>
      </c>
      <c r="GF11" s="12">
        <v>0</v>
      </c>
      <c r="GG11" s="12">
        <v>0</v>
      </c>
      <c r="GH11" s="12">
        <v>1</v>
      </c>
      <c r="GI11" s="12">
        <v>0</v>
      </c>
      <c r="GJ11" s="12">
        <v>0</v>
      </c>
      <c r="GK11" s="12">
        <v>0</v>
      </c>
      <c r="GL11" s="12">
        <v>0</v>
      </c>
      <c r="GM11" s="12">
        <v>0</v>
      </c>
      <c r="GN11" s="12">
        <v>0</v>
      </c>
      <c r="GO11" s="12">
        <v>0</v>
      </c>
      <c r="GP11" s="12">
        <v>0</v>
      </c>
      <c r="GQ11" s="12">
        <v>0</v>
      </c>
      <c r="GR11" s="12">
        <v>0</v>
      </c>
      <c r="GS11" s="12">
        <v>0</v>
      </c>
      <c r="GT11" s="12">
        <v>0</v>
      </c>
      <c r="GU11" s="13">
        <v>7</v>
      </c>
      <c r="GV11" s="13">
        <v>0</v>
      </c>
      <c r="GW11" s="13">
        <v>0</v>
      </c>
      <c r="GX11" s="13">
        <v>0</v>
      </c>
      <c r="GY11" s="10">
        <v>0</v>
      </c>
      <c r="GZ11" s="10">
        <v>0</v>
      </c>
      <c r="HA11" s="10">
        <v>0</v>
      </c>
      <c r="HB11" s="10">
        <v>7</v>
      </c>
      <c r="HC11" s="10">
        <v>1</v>
      </c>
      <c r="HD11" s="10">
        <v>0</v>
      </c>
      <c r="HE11" s="10">
        <v>0</v>
      </c>
      <c r="HF11" s="10">
        <v>0</v>
      </c>
      <c r="HG11" s="10">
        <v>0</v>
      </c>
      <c r="HH11" s="10">
        <v>0</v>
      </c>
      <c r="HI11" s="10">
        <v>0</v>
      </c>
      <c r="HJ11" s="10">
        <v>0</v>
      </c>
      <c r="HK11" s="10">
        <v>1</v>
      </c>
      <c r="HL11" s="10">
        <v>0</v>
      </c>
      <c r="HM11" s="10">
        <v>0</v>
      </c>
      <c r="HN11" s="81">
        <v>0</v>
      </c>
      <c r="HO11" s="81">
        <v>0</v>
      </c>
      <c r="HP11" s="81">
        <v>0</v>
      </c>
      <c r="HQ11" s="81">
        <v>0</v>
      </c>
      <c r="HR11" s="81">
        <v>2</v>
      </c>
      <c r="HS11" s="12">
        <v>0</v>
      </c>
      <c r="HT11" s="12">
        <v>2</v>
      </c>
      <c r="HU11" s="12">
        <v>4</v>
      </c>
      <c r="HV11" s="12">
        <v>0</v>
      </c>
      <c r="HW11" s="12">
        <v>0</v>
      </c>
      <c r="HX11" s="12">
        <v>0</v>
      </c>
      <c r="HY11" s="12">
        <v>0</v>
      </c>
      <c r="HZ11" s="12">
        <v>0</v>
      </c>
      <c r="IA11" s="12">
        <v>0</v>
      </c>
      <c r="IB11" s="12">
        <v>0</v>
      </c>
      <c r="IC11" s="12">
        <v>0</v>
      </c>
      <c r="ID11" s="12">
        <v>0</v>
      </c>
      <c r="IE11" s="12">
        <v>1</v>
      </c>
      <c r="IF11" s="12">
        <v>0</v>
      </c>
      <c r="IG11" s="12">
        <v>0</v>
      </c>
      <c r="IH11" s="12">
        <v>0</v>
      </c>
      <c r="II11" s="12">
        <v>0</v>
      </c>
      <c r="IJ11" s="12">
        <v>0</v>
      </c>
      <c r="IK11" s="12">
        <v>0</v>
      </c>
      <c r="IL11" s="12">
        <v>0</v>
      </c>
      <c r="IM11" s="12">
        <v>0</v>
      </c>
      <c r="IN11" s="12">
        <v>0</v>
      </c>
      <c r="IO11" s="12">
        <v>0</v>
      </c>
      <c r="IP11" s="12">
        <v>0</v>
      </c>
      <c r="IQ11" s="12">
        <v>1</v>
      </c>
      <c r="IR11" s="12">
        <v>0</v>
      </c>
      <c r="IS11" s="12">
        <v>0</v>
      </c>
      <c r="IT11" s="12">
        <v>0</v>
      </c>
      <c r="IU11" s="12">
        <v>0</v>
      </c>
      <c r="IV11" s="12">
        <v>1</v>
      </c>
      <c r="IW11" s="12">
        <v>0</v>
      </c>
      <c r="IX11" s="11">
        <v>0</v>
      </c>
      <c r="IY11" s="11">
        <v>15000</v>
      </c>
      <c r="IZ11" s="11">
        <v>15000</v>
      </c>
      <c r="JA11" s="85">
        <v>0</v>
      </c>
      <c r="JB11" s="85">
        <v>0</v>
      </c>
      <c r="JC11" s="85">
        <v>0</v>
      </c>
      <c r="JD11" s="12">
        <v>7</v>
      </c>
      <c r="JE11" s="12">
        <v>0</v>
      </c>
      <c r="JF11" s="12">
        <v>7</v>
      </c>
      <c r="JG11" s="12">
        <v>0</v>
      </c>
      <c r="JH11" s="12">
        <v>7</v>
      </c>
      <c r="JI11" s="12">
        <v>1</v>
      </c>
      <c r="JJ11" s="13" t="s">
        <v>620</v>
      </c>
      <c r="JK11" s="13" t="s">
        <v>619</v>
      </c>
      <c r="JL11" s="13" t="s">
        <v>297</v>
      </c>
      <c r="JM11" s="89"/>
      <c r="JN11" s="89"/>
      <c r="JO11" s="89" t="s">
        <v>296</v>
      </c>
      <c r="JP11" s="89"/>
      <c r="JQ11" s="89"/>
      <c r="JR11" s="89" t="s">
        <v>296</v>
      </c>
      <c r="JS11" s="89" t="s">
        <v>619</v>
      </c>
      <c r="JT11" s="89" t="s">
        <v>620</v>
      </c>
      <c r="JU11" s="89" t="s">
        <v>296</v>
      </c>
      <c r="JV11" s="89"/>
      <c r="JW11" s="89"/>
      <c r="JX11" s="89" t="s">
        <v>297</v>
      </c>
      <c r="JY11" s="12" t="s">
        <v>619</v>
      </c>
      <c r="JZ11" s="12" t="s">
        <v>34</v>
      </c>
      <c r="KA11" s="12" t="s">
        <v>34</v>
      </c>
      <c r="KB11" s="12" t="s">
        <v>619</v>
      </c>
      <c r="KC11" s="12" t="s">
        <v>619</v>
      </c>
      <c r="KD11" s="12" t="s">
        <v>619</v>
      </c>
      <c r="KE11" s="12" t="s">
        <v>34</v>
      </c>
      <c r="KF11" s="12"/>
      <c r="KG11" s="12" t="s">
        <v>34</v>
      </c>
      <c r="KH11" s="12" t="s">
        <v>34</v>
      </c>
      <c r="KI11" s="12" t="s">
        <v>34</v>
      </c>
      <c r="KJ11" s="12" t="s">
        <v>34</v>
      </c>
      <c r="KK11" s="12" t="s">
        <v>34</v>
      </c>
      <c r="KL11" s="12" t="s">
        <v>34</v>
      </c>
      <c r="KM11" s="12" t="s">
        <v>619</v>
      </c>
      <c r="KN11" s="12" t="s">
        <v>619</v>
      </c>
      <c r="KO11" s="12" t="s">
        <v>619</v>
      </c>
      <c r="KP11" s="12" t="s">
        <v>34</v>
      </c>
      <c r="KQ11" s="12" t="s">
        <v>619</v>
      </c>
      <c r="KR11" s="12" t="s">
        <v>619</v>
      </c>
      <c r="KS11" s="12" t="s">
        <v>34</v>
      </c>
      <c r="KT11" s="12" t="s">
        <v>619</v>
      </c>
      <c r="KU11" s="12" t="s">
        <v>34</v>
      </c>
      <c r="KV11" s="12" t="s">
        <v>34</v>
      </c>
      <c r="KW11" s="12" t="s">
        <v>34</v>
      </c>
      <c r="KX11" s="12" t="s">
        <v>34</v>
      </c>
      <c r="KY11" s="12" t="s">
        <v>619</v>
      </c>
      <c r="KZ11" s="12" t="s">
        <v>619</v>
      </c>
      <c r="LA11" s="12" t="s">
        <v>619</v>
      </c>
      <c r="LB11" s="12" t="s">
        <v>619</v>
      </c>
      <c r="LC11" s="12" t="s">
        <v>619</v>
      </c>
      <c r="LD11" s="12" t="s">
        <v>619</v>
      </c>
      <c r="LE11" s="12" t="s">
        <v>34</v>
      </c>
      <c r="LF11" s="12" t="s">
        <v>34</v>
      </c>
      <c r="LG11" s="12" t="s">
        <v>34</v>
      </c>
      <c r="LH11" s="12" t="s">
        <v>34</v>
      </c>
      <c r="LI11" s="12" t="s">
        <v>619</v>
      </c>
      <c r="LJ11" s="12" t="s">
        <v>619</v>
      </c>
      <c r="LK11" s="12" t="s">
        <v>34</v>
      </c>
      <c r="LL11" s="13" t="s">
        <v>619</v>
      </c>
      <c r="LM11" s="13" t="s">
        <v>34</v>
      </c>
      <c r="LN11" s="13" t="s">
        <v>619</v>
      </c>
      <c r="LO11" s="13" t="s">
        <v>34</v>
      </c>
      <c r="LP11" s="90" t="s">
        <v>619</v>
      </c>
      <c r="LQ11" s="13" t="s">
        <v>619</v>
      </c>
      <c r="LR11" s="13" t="s">
        <v>34</v>
      </c>
      <c r="LS11" s="13"/>
      <c r="LT11" s="13" t="s">
        <v>34</v>
      </c>
      <c r="LU11" s="13" t="s">
        <v>34</v>
      </c>
      <c r="LV11" s="13" t="s">
        <v>34</v>
      </c>
      <c r="LW11" s="13" t="s">
        <v>34</v>
      </c>
      <c r="LX11" s="13" t="s">
        <v>34</v>
      </c>
      <c r="LY11" s="13" t="s">
        <v>34</v>
      </c>
      <c r="LZ11" s="13" t="s">
        <v>619</v>
      </c>
      <c r="MA11" s="13" t="s">
        <v>619</v>
      </c>
      <c r="MB11" s="13" t="s">
        <v>619</v>
      </c>
      <c r="MC11" s="13" t="s">
        <v>34</v>
      </c>
      <c r="MD11" s="13" t="s">
        <v>619</v>
      </c>
      <c r="ME11" s="13" t="s">
        <v>619</v>
      </c>
      <c r="MF11" s="13" t="s">
        <v>619</v>
      </c>
      <c r="MG11" s="13" t="s">
        <v>619</v>
      </c>
      <c r="MH11" s="13" t="s">
        <v>34</v>
      </c>
      <c r="MI11" s="13" t="s">
        <v>34</v>
      </c>
      <c r="MJ11" s="13" t="s">
        <v>34</v>
      </c>
      <c r="MK11" s="13" t="s">
        <v>34</v>
      </c>
      <c r="ML11" s="13" t="s">
        <v>619</v>
      </c>
      <c r="MM11" s="13" t="s">
        <v>619</v>
      </c>
      <c r="MN11" s="13" t="s">
        <v>619</v>
      </c>
      <c r="MO11" s="13" t="s">
        <v>619</v>
      </c>
      <c r="MP11" s="13" t="s">
        <v>619</v>
      </c>
      <c r="MQ11" s="13" t="s">
        <v>619</v>
      </c>
      <c r="MR11" s="13" t="s">
        <v>34</v>
      </c>
      <c r="MS11" s="13" t="s">
        <v>34</v>
      </c>
      <c r="MT11" s="13" t="s">
        <v>34</v>
      </c>
      <c r="MU11" s="13" t="s">
        <v>34</v>
      </c>
      <c r="MV11" s="13" t="s">
        <v>34</v>
      </c>
      <c r="MW11" s="13" t="s">
        <v>34</v>
      </c>
      <c r="MX11" s="13" t="s">
        <v>34</v>
      </c>
      <c r="MY11" s="28" t="s">
        <v>297</v>
      </c>
      <c r="MZ11" s="28" t="s">
        <v>296</v>
      </c>
      <c r="NA11" s="28" t="s">
        <v>296</v>
      </c>
      <c r="NB11" s="28" t="s">
        <v>297</v>
      </c>
      <c r="NC11" s="28" t="s">
        <v>296</v>
      </c>
      <c r="ND11" s="28" t="s">
        <v>297</v>
      </c>
      <c r="NE11" s="28" t="s">
        <v>296</v>
      </c>
      <c r="NF11" s="28" t="s">
        <v>297</v>
      </c>
      <c r="NG11" s="28" t="s">
        <v>297</v>
      </c>
      <c r="NH11" s="28" t="s">
        <v>297</v>
      </c>
      <c r="NI11" s="177" t="s">
        <v>296</v>
      </c>
      <c r="NJ11" s="177" t="s">
        <v>297</v>
      </c>
      <c r="NK11" s="177" t="s">
        <v>296</v>
      </c>
      <c r="NL11" s="177" t="s">
        <v>297</v>
      </c>
      <c r="NM11" s="177" t="s">
        <v>296</v>
      </c>
      <c r="NN11" s="177" t="s">
        <v>296</v>
      </c>
      <c r="NO11" s="177" t="s">
        <v>296</v>
      </c>
      <c r="NP11" s="177" t="s">
        <v>297</v>
      </c>
      <c r="NQ11" s="177" t="s">
        <v>296</v>
      </c>
      <c r="NR11" s="12" t="s">
        <v>619</v>
      </c>
      <c r="NS11" s="13" t="s">
        <v>34</v>
      </c>
    </row>
    <row r="12" spans="1:383" x14ac:dyDescent="0.25">
      <c r="A12" s="8" t="s">
        <v>57</v>
      </c>
      <c r="B12" s="9" t="s">
        <v>58</v>
      </c>
      <c r="C12" s="9">
        <v>76</v>
      </c>
      <c r="D12" s="9" t="s">
        <v>54</v>
      </c>
      <c r="E12" s="10">
        <v>118</v>
      </c>
      <c r="F12" s="10">
        <v>113</v>
      </c>
      <c r="G12" s="10">
        <v>116</v>
      </c>
      <c r="H12" s="10">
        <v>114</v>
      </c>
      <c r="I12" s="10">
        <v>78</v>
      </c>
      <c r="J12" s="11">
        <v>451</v>
      </c>
      <c r="K12" s="11">
        <v>399</v>
      </c>
      <c r="L12" s="11">
        <v>405</v>
      </c>
      <c r="M12" s="11">
        <v>420</v>
      </c>
      <c r="N12" s="11">
        <v>292</v>
      </c>
      <c r="O12" s="13">
        <v>3532</v>
      </c>
      <c r="P12" s="13">
        <v>3249</v>
      </c>
      <c r="Q12" s="13">
        <v>3218</v>
      </c>
      <c r="R12" s="13">
        <v>3207</v>
      </c>
      <c r="S12" s="13">
        <v>2362</v>
      </c>
      <c r="T12" s="12">
        <v>1623</v>
      </c>
      <c r="U12" s="12">
        <v>1208</v>
      </c>
      <c r="V12" s="12">
        <v>1348</v>
      </c>
      <c r="W12" s="12">
        <v>1350</v>
      </c>
      <c r="X12" s="12">
        <v>647</v>
      </c>
      <c r="Y12" s="12">
        <v>4</v>
      </c>
      <c r="Z12" s="12">
        <v>4.0199999999999996</v>
      </c>
      <c r="AA12" s="12">
        <v>4.0199999999999996</v>
      </c>
      <c r="AB12" s="13">
        <v>3.66</v>
      </c>
      <c r="AC12" s="13">
        <v>3.68</v>
      </c>
      <c r="AD12" s="13">
        <v>3.68</v>
      </c>
      <c r="AE12" s="35" t="s">
        <v>258</v>
      </c>
      <c r="AF12" s="35" t="s">
        <v>258</v>
      </c>
      <c r="AG12" s="35" t="s">
        <v>258</v>
      </c>
      <c r="AH12" s="38">
        <v>1</v>
      </c>
      <c r="AI12" s="38">
        <v>1</v>
      </c>
      <c r="AJ12" s="38">
        <v>1</v>
      </c>
      <c r="AK12" s="45" t="s">
        <v>34</v>
      </c>
      <c r="AL12" s="45" t="s">
        <v>34</v>
      </c>
      <c r="AM12" s="45" t="s">
        <v>34</v>
      </c>
      <c r="AN12" s="45" t="s">
        <v>34</v>
      </c>
      <c r="AO12" s="45" t="s">
        <v>34</v>
      </c>
      <c r="AP12" s="45" t="s">
        <v>292</v>
      </c>
      <c r="AQ12" s="53" t="s">
        <v>297</v>
      </c>
      <c r="AR12" s="56">
        <v>71</v>
      </c>
      <c r="AS12" s="57">
        <v>61</v>
      </c>
      <c r="AT12" s="56">
        <v>46</v>
      </c>
      <c r="AU12" s="57">
        <v>18939</v>
      </c>
      <c r="AV12" s="57">
        <v>7051</v>
      </c>
      <c r="AW12" s="57">
        <v>1262</v>
      </c>
      <c r="AX12" s="57">
        <v>0</v>
      </c>
      <c r="AY12" s="57">
        <v>12</v>
      </c>
      <c r="AZ12" s="57">
        <v>0</v>
      </c>
      <c r="BA12" s="57">
        <v>188</v>
      </c>
      <c r="BB12" s="57">
        <v>0</v>
      </c>
      <c r="BC12" s="57">
        <v>1030</v>
      </c>
      <c r="BD12" s="57">
        <v>0</v>
      </c>
      <c r="BE12" s="57">
        <v>0</v>
      </c>
      <c r="BF12" s="57">
        <v>215</v>
      </c>
      <c r="BG12" s="57">
        <v>0</v>
      </c>
      <c r="BH12" s="57">
        <v>300</v>
      </c>
      <c r="BI12" s="57">
        <v>214</v>
      </c>
      <c r="BJ12" s="57" t="s">
        <v>297</v>
      </c>
      <c r="BK12" s="57">
        <v>18</v>
      </c>
      <c r="BL12" s="57">
        <v>0</v>
      </c>
      <c r="BM12" s="57">
        <v>0</v>
      </c>
      <c r="BN12" s="57">
        <v>0</v>
      </c>
      <c r="BO12" s="57">
        <v>50</v>
      </c>
      <c r="BP12" s="57">
        <v>0</v>
      </c>
      <c r="BQ12" s="76">
        <v>351</v>
      </c>
      <c r="BR12" s="76">
        <v>348</v>
      </c>
      <c r="BS12">
        <v>344</v>
      </c>
      <c r="BT12">
        <v>344</v>
      </c>
      <c r="BU12">
        <v>344</v>
      </c>
      <c r="BV12">
        <v>31055</v>
      </c>
      <c r="BW12">
        <v>30700</v>
      </c>
      <c r="BX12">
        <v>30270</v>
      </c>
      <c r="BY12">
        <v>29737</v>
      </c>
      <c r="BZ12">
        <v>29097</v>
      </c>
      <c r="CA12">
        <v>118</v>
      </c>
      <c r="CB12">
        <v>123</v>
      </c>
      <c r="CC12">
        <v>116</v>
      </c>
      <c r="CD12">
        <v>120</v>
      </c>
      <c r="CE12">
        <v>78</v>
      </c>
      <c r="CF12">
        <v>5155</v>
      </c>
      <c r="CG12">
        <v>4457</v>
      </c>
      <c r="CH12">
        <v>4566</v>
      </c>
      <c r="CI12">
        <v>4557</v>
      </c>
      <c r="CJ12">
        <v>3009</v>
      </c>
      <c r="CK12" s="10">
        <v>20.5</v>
      </c>
      <c r="CL12" s="10">
        <v>20.6</v>
      </c>
      <c r="CM12" s="10">
        <v>20.6</v>
      </c>
      <c r="CN12" s="11">
        <v>15.3</v>
      </c>
      <c r="CO12" s="11">
        <v>15.3</v>
      </c>
      <c r="CP12" s="11">
        <v>15.3</v>
      </c>
      <c r="CQ12" s="13">
        <v>0</v>
      </c>
      <c r="CR12" s="13">
        <v>19</v>
      </c>
      <c r="CS12" s="13">
        <v>0</v>
      </c>
      <c r="CT12" s="10">
        <v>0</v>
      </c>
      <c r="CU12" s="10">
        <v>0</v>
      </c>
      <c r="CV12" s="10">
        <v>3</v>
      </c>
      <c r="CW12" s="10">
        <v>0</v>
      </c>
      <c r="CX12" s="10">
        <v>0</v>
      </c>
      <c r="CY12" s="10">
        <v>0</v>
      </c>
      <c r="CZ12" s="10">
        <v>0</v>
      </c>
      <c r="DA12" s="10">
        <v>0</v>
      </c>
      <c r="DB12" s="10">
        <v>0</v>
      </c>
      <c r="DC12" s="10">
        <v>0</v>
      </c>
      <c r="DD12" s="10">
        <v>0</v>
      </c>
      <c r="DE12" s="10">
        <v>0</v>
      </c>
      <c r="DF12" s="10">
        <v>0</v>
      </c>
      <c r="DG12" s="10">
        <v>0</v>
      </c>
      <c r="DH12" s="10">
        <v>0</v>
      </c>
      <c r="DI12" s="81">
        <v>0</v>
      </c>
      <c r="DJ12" s="81">
        <v>0</v>
      </c>
      <c r="DK12" s="81">
        <v>15</v>
      </c>
      <c r="DL12" s="81">
        <v>0</v>
      </c>
      <c r="DM12" s="81">
        <v>1</v>
      </c>
      <c r="DN12" s="12">
        <v>0</v>
      </c>
      <c r="DO12" s="12">
        <v>0</v>
      </c>
      <c r="DP12" s="12">
        <v>0</v>
      </c>
      <c r="DQ12" s="12">
        <v>0</v>
      </c>
      <c r="DR12" s="12">
        <v>0</v>
      </c>
      <c r="DS12" s="12">
        <v>0</v>
      </c>
      <c r="DT12" s="12">
        <v>0</v>
      </c>
      <c r="DU12" s="12">
        <v>0</v>
      </c>
      <c r="DV12" s="12">
        <v>13</v>
      </c>
      <c r="DW12" s="12">
        <v>12</v>
      </c>
      <c r="DX12" s="12">
        <v>0</v>
      </c>
      <c r="DY12" s="12">
        <v>0</v>
      </c>
      <c r="DZ12" s="12">
        <v>0</v>
      </c>
      <c r="EA12" s="12">
        <v>0</v>
      </c>
      <c r="EB12" s="12">
        <v>0</v>
      </c>
      <c r="EC12" s="12">
        <v>0</v>
      </c>
      <c r="ED12" s="12">
        <v>0</v>
      </c>
      <c r="EE12" s="12">
        <v>1</v>
      </c>
      <c r="EF12" s="12">
        <v>0</v>
      </c>
      <c r="EG12" s="12">
        <v>0</v>
      </c>
      <c r="EH12" s="12">
        <v>0</v>
      </c>
      <c r="EI12" s="12">
        <v>0</v>
      </c>
      <c r="EJ12" s="12">
        <v>1</v>
      </c>
      <c r="EK12" s="12">
        <v>0</v>
      </c>
      <c r="EL12" s="12">
        <v>1</v>
      </c>
      <c r="EM12" s="12">
        <v>2</v>
      </c>
      <c r="EN12" s="12">
        <v>0</v>
      </c>
      <c r="EO12" s="12">
        <v>0</v>
      </c>
      <c r="EP12" s="12">
        <v>0</v>
      </c>
      <c r="EQ12" s="12">
        <v>0</v>
      </c>
      <c r="ER12" s="12">
        <v>0</v>
      </c>
      <c r="ES12" s="13">
        <v>20</v>
      </c>
      <c r="ET12" s="13">
        <v>0</v>
      </c>
      <c r="EU12" s="13">
        <v>0</v>
      </c>
      <c r="EV12" s="10">
        <v>0</v>
      </c>
      <c r="EW12" s="10">
        <v>0</v>
      </c>
      <c r="EX12" s="10">
        <v>1</v>
      </c>
      <c r="EY12" s="10">
        <v>0</v>
      </c>
      <c r="EZ12" s="10">
        <v>0</v>
      </c>
      <c r="FA12" s="10">
        <v>0</v>
      </c>
      <c r="FB12" s="10">
        <v>0</v>
      </c>
      <c r="FC12" s="10">
        <v>0</v>
      </c>
      <c r="FD12" s="10">
        <v>0</v>
      </c>
      <c r="FE12" s="10">
        <v>0</v>
      </c>
      <c r="FF12" s="10">
        <v>0</v>
      </c>
      <c r="FG12" s="10">
        <v>0</v>
      </c>
      <c r="FH12" s="10">
        <v>0</v>
      </c>
      <c r="FI12" s="10">
        <v>0</v>
      </c>
      <c r="FJ12" s="10">
        <v>1</v>
      </c>
      <c r="FK12" s="81">
        <v>0</v>
      </c>
      <c r="FL12" s="81">
        <v>0</v>
      </c>
      <c r="FM12" s="81">
        <v>13</v>
      </c>
      <c r="FN12" s="81">
        <v>0</v>
      </c>
      <c r="FO12" s="81">
        <v>0</v>
      </c>
      <c r="FP12" s="12">
        <v>0</v>
      </c>
      <c r="FQ12" s="12">
        <v>0</v>
      </c>
      <c r="FR12" s="12">
        <v>0</v>
      </c>
      <c r="FS12" s="12">
        <v>0</v>
      </c>
      <c r="FT12" s="12">
        <v>0</v>
      </c>
      <c r="FU12" s="12">
        <v>0</v>
      </c>
      <c r="FV12" s="12">
        <v>0</v>
      </c>
      <c r="FW12" s="12">
        <v>0</v>
      </c>
      <c r="FX12" s="12">
        <v>49</v>
      </c>
      <c r="FY12" s="12">
        <v>0</v>
      </c>
      <c r="FZ12" s="12">
        <v>0</v>
      </c>
      <c r="GA12" s="12">
        <v>0</v>
      </c>
      <c r="GB12" s="12">
        <v>0</v>
      </c>
      <c r="GC12" s="12">
        <v>0</v>
      </c>
      <c r="GD12" s="12">
        <v>0</v>
      </c>
      <c r="GE12" s="12">
        <v>0</v>
      </c>
      <c r="GF12" s="12">
        <v>0</v>
      </c>
      <c r="GG12" s="12">
        <v>0</v>
      </c>
      <c r="GH12" s="12">
        <v>0</v>
      </c>
      <c r="GI12" s="12">
        <v>0</v>
      </c>
      <c r="GJ12" s="12">
        <v>0</v>
      </c>
      <c r="GK12" s="12">
        <v>0</v>
      </c>
      <c r="GL12" s="12">
        <v>1</v>
      </c>
      <c r="GM12" s="12">
        <v>0</v>
      </c>
      <c r="GN12" s="12">
        <v>11</v>
      </c>
      <c r="GO12" s="12">
        <v>2</v>
      </c>
      <c r="GP12" s="12">
        <v>0</v>
      </c>
      <c r="GQ12" s="12">
        <v>0</v>
      </c>
      <c r="GR12" s="12">
        <v>0</v>
      </c>
      <c r="GS12" s="12">
        <v>0</v>
      </c>
      <c r="GT12" s="12">
        <v>1</v>
      </c>
      <c r="GU12" s="13">
        <v>61</v>
      </c>
      <c r="GV12" s="13">
        <v>7</v>
      </c>
      <c r="GW12" s="13">
        <v>0</v>
      </c>
      <c r="GX12" s="13">
        <v>0</v>
      </c>
      <c r="GY12" s="10">
        <v>0</v>
      </c>
      <c r="GZ12" s="10">
        <v>0</v>
      </c>
      <c r="HA12" s="10">
        <v>9</v>
      </c>
      <c r="HB12" s="10">
        <v>2</v>
      </c>
      <c r="HC12" s="10">
        <v>1</v>
      </c>
      <c r="HD12" s="10">
        <v>0</v>
      </c>
      <c r="HE12" s="10">
        <v>0</v>
      </c>
      <c r="HF12" s="10">
        <v>0</v>
      </c>
      <c r="HG12" s="10">
        <v>0</v>
      </c>
      <c r="HH12" s="10">
        <v>0</v>
      </c>
      <c r="HI12" s="10">
        <v>0</v>
      </c>
      <c r="HJ12" s="10">
        <v>0</v>
      </c>
      <c r="HK12" s="10">
        <v>0</v>
      </c>
      <c r="HL12" s="10">
        <v>0</v>
      </c>
      <c r="HM12" s="10">
        <v>0</v>
      </c>
      <c r="HN12" s="81">
        <v>0</v>
      </c>
      <c r="HO12" s="81">
        <v>0</v>
      </c>
      <c r="HP12" s="81">
        <v>0</v>
      </c>
      <c r="HQ12" s="81">
        <v>0</v>
      </c>
      <c r="HR12" s="81">
        <v>0</v>
      </c>
      <c r="HS12" s="12">
        <v>0</v>
      </c>
      <c r="HT12" s="12">
        <v>0</v>
      </c>
      <c r="HU12" s="12">
        <v>0</v>
      </c>
      <c r="HV12" s="12">
        <v>0</v>
      </c>
      <c r="HW12" s="12">
        <v>0</v>
      </c>
      <c r="HX12" s="12">
        <v>0</v>
      </c>
      <c r="HY12" s="12">
        <v>0</v>
      </c>
      <c r="HZ12" s="12">
        <v>0</v>
      </c>
      <c r="IA12" s="12">
        <v>0</v>
      </c>
      <c r="IB12" s="12">
        <v>0</v>
      </c>
      <c r="IC12" s="12">
        <v>11</v>
      </c>
      <c r="ID12" s="12">
        <v>4</v>
      </c>
      <c r="IE12" s="12">
        <v>0</v>
      </c>
      <c r="IF12" s="12">
        <v>0</v>
      </c>
      <c r="IG12" s="12">
        <v>2</v>
      </c>
      <c r="IH12" s="12">
        <v>0</v>
      </c>
      <c r="II12" s="12">
        <v>0</v>
      </c>
      <c r="IJ12" s="12">
        <v>0</v>
      </c>
      <c r="IK12" s="12">
        <v>0</v>
      </c>
      <c r="IL12" s="12">
        <v>0</v>
      </c>
      <c r="IM12" s="12">
        <v>0</v>
      </c>
      <c r="IN12" s="12">
        <v>0</v>
      </c>
      <c r="IO12" s="12">
        <v>0</v>
      </c>
      <c r="IP12" s="12">
        <v>0</v>
      </c>
      <c r="IQ12" s="12">
        <v>0</v>
      </c>
      <c r="IR12" s="12">
        <v>6</v>
      </c>
      <c r="IS12" s="12">
        <v>0</v>
      </c>
      <c r="IT12" s="12">
        <v>0</v>
      </c>
      <c r="IU12" s="12">
        <v>5</v>
      </c>
      <c r="IV12" s="12">
        <v>0</v>
      </c>
      <c r="IW12" s="12">
        <v>0</v>
      </c>
      <c r="IX12" s="11">
        <v>15000</v>
      </c>
      <c r="IY12" s="11">
        <v>15000</v>
      </c>
      <c r="IZ12" s="11">
        <v>15000</v>
      </c>
      <c r="JA12" s="85">
        <v>0</v>
      </c>
      <c r="JB12" s="85">
        <v>0</v>
      </c>
      <c r="JC12" s="85">
        <v>0</v>
      </c>
      <c r="JD12" s="12">
        <v>8</v>
      </c>
      <c r="JE12" s="12">
        <v>8</v>
      </c>
      <c r="JF12" s="12">
        <v>7</v>
      </c>
      <c r="JG12" s="12">
        <v>7</v>
      </c>
      <c r="JH12" s="12">
        <v>7</v>
      </c>
      <c r="JI12" s="12">
        <v>7</v>
      </c>
      <c r="JJ12" s="13" t="s">
        <v>619</v>
      </c>
      <c r="JK12" s="13" t="s">
        <v>620</v>
      </c>
      <c r="JL12" s="13" t="s">
        <v>296</v>
      </c>
      <c r="JM12" s="89"/>
      <c r="JN12" s="89"/>
      <c r="JO12" s="89" t="s">
        <v>297</v>
      </c>
      <c r="JP12" s="89"/>
      <c r="JQ12" s="89"/>
      <c r="JR12" s="89" t="s">
        <v>296</v>
      </c>
      <c r="JS12" s="89" t="s">
        <v>620</v>
      </c>
      <c r="JT12" s="89" t="s">
        <v>619</v>
      </c>
      <c r="JU12" s="89" t="s">
        <v>297</v>
      </c>
      <c r="JV12" s="89"/>
      <c r="JW12" s="89"/>
      <c r="JX12" s="89" t="s">
        <v>297</v>
      </c>
      <c r="JY12" s="12" t="s">
        <v>34</v>
      </c>
      <c r="JZ12" s="12" t="s">
        <v>34</v>
      </c>
      <c r="KA12" s="12" t="s">
        <v>34</v>
      </c>
      <c r="KB12" s="12" t="s">
        <v>34</v>
      </c>
      <c r="KC12" s="12" t="s">
        <v>34</v>
      </c>
      <c r="KD12" s="12" t="s">
        <v>34</v>
      </c>
      <c r="KE12" s="12" t="s">
        <v>34</v>
      </c>
      <c r="KF12" s="12"/>
      <c r="KG12" s="12" t="s">
        <v>34</v>
      </c>
      <c r="KH12" s="12" t="s">
        <v>34</v>
      </c>
      <c r="KI12" s="12" t="s">
        <v>34</v>
      </c>
      <c r="KJ12" s="12" t="s">
        <v>34</v>
      </c>
      <c r="KK12" s="12" t="s">
        <v>34</v>
      </c>
      <c r="KL12" s="12" t="s">
        <v>34</v>
      </c>
      <c r="KM12" s="12" t="s">
        <v>34</v>
      </c>
      <c r="KN12" s="12" t="s">
        <v>34</v>
      </c>
      <c r="KO12" s="12" t="s">
        <v>34</v>
      </c>
      <c r="KP12" s="12" t="s">
        <v>34</v>
      </c>
      <c r="KQ12" s="12" t="s">
        <v>619</v>
      </c>
      <c r="KR12" s="12" t="s">
        <v>619</v>
      </c>
      <c r="KS12" s="12" t="s">
        <v>34</v>
      </c>
      <c r="KT12" s="12" t="s">
        <v>34</v>
      </c>
      <c r="KU12" s="12" t="s">
        <v>34</v>
      </c>
      <c r="KV12" s="12" t="s">
        <v>34</v>
      </c>
      <c r="KW12" s="12" t="s">
        <v>34</v>
      </c>
      <c r="KX12" s="12" t="s">
        <v>34</v>
      </c>
      <c r="KY12" s="12" t="s">
        <v>34</v>
      </c>
      <c r="KZ12" s="12" t="s">
        <v>34</v>
      </c>
      <c r="LA12" s="12" t="s">
        <v>34</v>
      </c>
      <c r="LB12" s="12" t="s">
        <v>619</v>
      </c>
      <c r="LC12" s="12" t="s">
        <v>34</v>
      </c>
      <c r="LD12" s="12" t="s">
        <v>34</v>
      </c>
      <c r="LE12" s="12" t="s">
        <v>34</v>
      </c>
      <c r="LF12" s="12" t="s">
        <v>34</v>
      </c>
      <c r="LG12" s="12" t="s">
        <v>34</v>
      </c>
      <c r="LH12" s="12" t="s">
        <v>34</v>
      </c>
      <c r="LI12" s="12" t="s">
        <v>619</v>
      </c>
      <c r="LJ12" s="12" t="s">
        <v>619</v>
      </c>
      <c r="LK12" s="12" t="s">
        <v>34</v>
      </c>
      <c r="LL12" s="13" t="s">
        <v>34</v>
      </c>
      <c r="LM12" s="13" t="s">
        <v>34</v>
      </c>
      <c r="LN12" s="13" t="s">
        <v>34</v>
      </c>
      <c r="LO12" s="13" t="s">
        <v>34</v>
      </c>
      <c r="LP12" s="90" t="s">
        <v>34</v>
      </c>
      <c r="LQ12" s="13" t="s">
        <v>34</v>
      </c>
      <c r="LR12" s="13" t="s">
        <v>34</v>
      </c>
      <c r="LS12" s="13"/>
      <c r="LT12" s="13" t="s">
        <v>34</v>
      </c>
      <c r="LU12" s="13" t="s">
        <v>34</v>
      </c>
      <c r="LV12" s="13" t="s">
        <v>34</v>
      </c>
      <c r="LW12" s="13" t="s">
        <v>34</v>
      </c>
      <c r="LX12" s="13" t="s">
        <v>34</v>
      </c>
      <c r="LY12" s="13" t="s">
        <v>34</v>
      </c>
      <c r="LZ12" s="13" t="s">
        <v>34</v>
      </c>
      <c r="MA12" s="13" t="s">
        <v>34</v>
      </c>
      <c r="MB12" s="13" t="s">
        <v>619</v>
      </c>
      <c r="MC12" s="13" t="s">
        <v>34</v>
      </c>
      <c r="MD12" s="13" t="s">
        <v>619</v>
      </c>
      <c r="ME12" s="13" t="s">
        <v>34</v>
      </c>
      <c r="MF12" s="13" t="s">
        <v>34</v>
      </c>
      <c r="MG12" s="13" t="s">
        <v>34</v>
      </c>
      <c r="MH12" s="13" t="s">
        <v>34</v>
      </c>
      <c r="MI12" s="13" t="s">
        <v>34</v>
      </c>
      <c r="MJ12" s="13" t="s">
        <v>34</v>
      </c>
      <c r="MK12" s="13" t="s">
        <v>34</v>
      </c>
      <c r="ML12" s="13" t="s">
        <v>34</v>
      </c>
      <c r="MM12" s="13" t="s">
        <v>34</v>
      </c>
      <c r="MN12" s="13" t="s">
        <v>34</v>
      </c>
      <c r="MO12" s="13" t="s">
        <v>619</v>
      </c>
      <c r="MP12" s="13" t="s">
        <v>34</v>
      </c>
      <c r="MQ12" s="13" t="s">
        <v>34</v>
      </c>
      <c r="MR12" s="13" t="s">
        <v>34</v>
      </c>
      <c r="MS12" s="13" t="s">
        <v>34</v>
      </c>
      <c r="MT12" s="13" t="s">
        <v>34</v>
      </c>
      <c r="MU12" s="13" t="s">
        <v>34</v>
      </c>
      <c r="MV12" s="13" t="s">
        <v>34</v>
      </c>
      <c r="MW12" s="13" t="s">
        <v>34</v>
      </c>
      <c r="MX12" s="13" t="s">
        <v>34</v>
      </c>
      <c r="MY12" s="28" t="s">
        <v>296</v>
      </c>
      <c r="MZ12" s="28" t="s">
        <v>296</v>
      </c>
      <c r="NA12" s="28" t="s">
        <v>296</v>
      </c>
      <c r="NB12" s="28" t="s">
        <v>296</v>
      </c>
      <c r="NC12" s="28" t="s">
        <v>296</v>
      </c>
      <c r="ND12" s="28" t="s">
        <v>297</v>
      </c>
      <c r="NE12" s="28" t="s">
        <v>296</v>
      </c>
      <c r="NF12" s="28" t="s">
        <v>296</v>
      </c>
      <c r="NG12" s="28" t="s">
        <v>297</v>
      </c>
      <c r="NH12" s="28" t="s">
        <v>297</v>
      </c>
      <c r="NI12" s="177" t="s">
        <v>296</v>
      </c>
      <c r="NJ12" s="177" t="s">
        <v>297</v>
      </c>
      <c r="NK12" s="177" t="s">
        <v>297</v>
      </c>
      <c r="NL12" s="177" t="s">
        <v>297</v>
      </c>
      <c r="NM12" s="177" t="s">
        <v>296</v>
      </c>
      <c r="NN12" s="177" t="s">
        <v>296</v>
      </c>
      <c r="NO12" s="177" t="s">
        <v>296</v>
      </c>
      <c r="NP12" s="177" t="s">
        <v>296</v>
      </c>
      <c r="NQ12" s="177" t="s">
        <v>296</v>
      </c>
      <c r="NR12" s="12" t="s">
        <v>34</v>
      </c>
      <c r="NS12" s="13" t="s">
        <v>34</v>
      </c>
    </row>
    <row r="13" spans="1:383" x14ac:dyDescent="0.25">
      <c r="A13" s="8" t="s">
        <v>59</v>
      </c>
      <c r="B13" s="9" t="s">
        <v>60</v>
      </c>
      <c r="C13" s="9">
        <v>76</v>
      </c>
      <c r="D13" s="9" t="s">
        <v>54</v>
      </c>
      <c r="E13" s="10">
        <v>101</v>
      </c>
      <c r="F13" s="10">
        <v>104</v>
      </c>
      <c r="G13" s="10">
        <v>89</v>
      </c>
      <c r="H13" s="10">
        <v>92</v>
      </c>
      <c r="I13" s="10">
        <v>77</v>
      </c>
      <c r="J13" s="11">
        <v>334</v>
      </c>
      <c r="K13" s="11">
        <v>337</v>
      </c>
      <c r="L13" s="11">
        <v>305</v>
      </c>
      <c r="M13" s="11">
        <v>273</v>
      </c>
      <c r="N13" s="11">
        <v>249</v>
      </c>
      <c r="O13" s="13">
        <v>3801</v>
      </c>
      <c r="P13" s="13">
        <v>4003</v>
      </c>
      <c r="Q13" s="13">
        <v>3415</v>
      </c>
      <c r="R13" s="13">
        <v>3678</v>
      </c>
      <c r="S13" s="13">
        <v>2807</v>
      </c>
      <c r="T13" s="12">
        <v>975</v>
      </c>
      <c r="U13" s="12">
        <v>852</v>
      </c>
      <c r="V13" s="12">
        <v>1019</v>
      </c>
      <c r="W13" s="12">
        <v>1072</v>
      </c>
      <c r="X13" s="12">
        <v>880</v>
      </c>
      <c r="Y13" s="12">
        <v>5.8</v>
      </c>
      <c r="Z13" s="12">
        <v>5.85</v>
      </c>
      <c r="AA13" s="12">
        <v>5.85</v>
      </c>
      <c r="AB13" s="13">
        <v>5.8</v>
      </c>
      <c r="AC13" s="13">
        <v>5.85</v>
      </c>
      <c r="AD13" s="13">
        <v>5.85</v>
      </c>
      <c r="AE13" s="35" t="s">
        <v>259</v>
      </c>
      <c r="AF13" s="35" t="s">
        <v>259</v>
      </c>
      <c r="AG13" s="35" t="s">
        <v>259</v>
      </c>
      <c r="AH13" s="38">
        <v>0.75</v>
      </c>
      <c r="AI13" s="38">
        <v>0.75</v>
      </c>
      <c r="AJ13" s="38">
        <v>0.8</v>
      </c>
      <c r="AK13" s="45" t="s">
        <v>288</v>
      </c>
      <c r="AL13" s="45" t="s">
        <v>289</v>
      </c>
      <c r="AM13" s="45" t="s">
        <v>34</v>
      </c>
      <c r="AN13" s="45" t="s">
        <v>34</v>
      </c>
      <c r="AO13" s="45" t="s">
        <v>34</v>
      </c>
      <c r="AP13" s="45" t="s">
        <v>34</v>
      </c>
      <c r="AQ13" s="53" t="s">
        <v>297</v>
      </c>
      <c r="AR13" s="56">
        <v>70</v>
      </c>
      <c r="AS13" s="57">
        <v>51</v>
      </c>
      <c r="AT13" s="155">
        <v>113</v>
      </c>
      <c r="AU13" s="57">
        <v>7714</v>
      </c>
      <c r="AV13" s="57">
        <v>4879</v>
      </c>
      <c r="AW13" s="156">
        <v>8867</v>
      </c>
      <c r="AX13" s="57">
        <v>0</v>
      </c>
      <c r="AY13" s="57">
        <v>1</v>
      </c>
      <c r="AZ13" s="57">
        <v>0</v>
      </c>
      <c r="BA13" s="57">
        <v>0</v>
      </c>
      <c r="BB13" s="57">
        <v>0</v>
      </c>
      <c r="BC13" s="57">
        <v>0</v>
      </c>
      <c r="BD13" s="57">
        <v>0</v>
      </c>
      <c r="BE13" s="57">
        <v>0</v>
      </c>
      <c r="BF13" s="57">
        <v>0</v>
      </c>
      <c r="BG13" s="57">
        <v>0</v>
      </c>
      <c r="BH13" s="57">
        <v>0</v>
      </c>
      <c r="BI13" s="57">
        <v>0</v>
      </c>
      <c r="BJ13" s="57" t="s">
        <v>297</v>
      </c>
      <c r="BK13" s="57">
        <v>11</v>
      </c>
      <c r="BL13" s="57">
        <v>0</v>
      </c>
      <c r="BM13" s="57">
        <v>0</v>
      </c>
      <c r="BN13" s="57">
        <v>220</v>
      </c>
      <c r="BO13" s="57">
        <v>150</v>
      </c>
      <c r="BP13" s="57">
        <v>15</v>
      </c>
      <c r="BQ13" s="76">
        <v>270</v>
      </c>
      <c r="BR13" s="76">
        <v>262</v>
      </c>
      <c r="BS13">
        <v>256</v>
      </c>
      <c r="BT13">
        <v>256</v>
      </c>
      <c r="BU13">
        <v>255</v>
      </c>
      <c r="BV13">
        <v>17958</v>
      </c>
      <c r="BW13">
        <v>17733</v>
      </c>
      <c r="BX13">
        <v>17371</v>
      </c>
      <c r="BY13">
        <v>16900</v>
      </c>
      <c r="BZ13">
        <v>16500</v>
      </c>
      <c r="CA13">
        <v>107</v>
      </c>
      <c r="CB13">
        <v>122</v>
      </c>
      <c r="CC13">
        <v>105</v>
      </c>
      <c r="CD13">
        <v>112</v>
      </c>
      <c r="CE13">
        <v>83</v>
      </c>
      <c r="CF13">
        <v>4776</v>
      </c>
      <c r="CG13">
        <v>4855</v>
      </c>
      <c r="CH13">
        <v>4434</v>
      </c>
      <c r="CI13">
        <v>4750</v>
      </c>
      <c r="CJ13">
        <v>3687</v>
      </c>
      <c r="CK13" s="10">
        <v>60.5</v>
      </c>
      <c r="CL13" s="10">
        <v>60.6</v>
      </c>
      <c r="CM13" s="10">
        <v>60.6</v>
      </c>
      <c r="CN13" s="11">
        <v>17.45</v>
      </c>
      <c r="CO13" s="11">
        <v>17.45</v>
      </c>
      <c r="CP13" s="11">
        <v>17.45</v>
      </c>
      <c r="CQ13" s="13">
        <v>14</v>
      </c>
      <c r="CR13" s="13">
        <v>4</v>
      </c>
      <c r="CS13" s="13">
        <v>0</v>
      </c>
      <c r="CT13" s="10">
        <v>0</v>
      </c>
      <c r="CU13" s="10">
        <v>0</v>
      </c>
      <c r="CV13" s="10">
        <v>1</v>
      </c>
      <c r="CW13" s="10">
        <v>2</v>
      </c>
      <c r="CX13" s="10">
        <v>0</v>
      </c>
      <c r="CY13" s="10">
        <v>0</v>
      </c>
      <c r="CZ13" s="10">
        <v>0</v>
      </c>
      <c r="DA13" s="10">
        <v>0</v>
      </c>
      <c r="DB13" s="10">
        <v>0</v>
      </c>
      <c r="DC13" s="10">
        <v>0</v>
      </c>
      <c r="DD13" s="10">
        <v>0</v>
      </c>
      <c r="DE13" s="10">
        <v>0</v>
      </c>
      <c r="DF13" s="10">
        <v>1</v>
      </c>
      <c r="DG13" s="10">
        <v>0</v>
      </c>
      <c r="DH13" s="10">
        <v>0</v>
      </c>
      <c r="DI13" s="81">
        <v>7</v>
      </c>
      <c r="DJ13" s="81">
        <v>1</v>
      </c>
      <c r="DK13" s="81">
        <v>3</v>
      </c>
      <c r="DL13" s="81">
        <v>0</v>
      </c>
      <c r="DM13" s="81">
        <v>7</v>
      </c>
      <c r="DN13" s="12">
        <v>7</v>
      </c>
      <c r="DO13" s="12">
        <v>0</v>
      </c>
      <c r="DP13" s="12">
        <v>3</v>
      </c>
      <c r="DQ13" s="12">
        <v>0</v>
      </c>
      <c r="DR13" s="12">
        <v>0</v>
      </c>
      <c r="DS13" s="12">
        <v>0</v>
      </c>
      <c r="DT13" s="12">
        <v>0</v>
      </c>
      <c r="DU13" s="12">
        <v>0</v>
      </c>
      <c r="DV13" s="12">
        <v>9</v>
      </c>
      <c r="DW13" s="12">
        <v>2</v>
      </c>
      <c r="DX13" s="12">
        <v>1</v>
      </c>
      <c r="DY13" s="12">
        <v>2</v>
      </c>
      <c r="DZ13" s="12">
        <v>1</v>
      </c>
      <c r="EA13" s="12">
        <v>0</v>
      </c>
      <c r="EB13" s="12">
        <v>3</v>
      </c>
      <c r="EC13" s="12">
        <v>0</v>
      </c>
      <c r="ED13" s="12">
        <v>2</v>
      </c>
      <c r="EE13" s="12">
        <v>4</v>
      </c>
      <c r="EF13" s="12">
        <v>2</v>
      </c>
      <c r="EG13" s="12">
        <v>0</v>
      </c>
      <c r="EH13" s="12">
        <v>0</v>
      </c>
      <c r="EI13" s="12">
        <v>0</v>
      </c>
      <c r="EJ13" s="12">
        <v>0</v>
      </c>
      <c r="EK13" s="12">
        <v>0</v>
      </c>
      <c r="EL13" s="12">
        <v>3</v>
      </c>
      <c r="EM13" s="12">
        <v>0</v>
      </c>
      <c r="EN13" s="12">
        <v>8</v>
      </c>
      <c r="EO13" s="12">
        <v>0</v>
      </c>
      <c r="EP13" s="12">
        <v>0</v>
      </c>
      <c r="EQ13" s="12">
        <v>1</v>
      </c>
      <c r="ER13" s="12">
        <v>3</v>
      </c>
      <c r="ES13" s="13">
        <v>12</v>
      </c>
      <c r="ET13" s="13">
        <v>1</v>
      </c>
      <c r="EU13" s="13">
        <v>0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0</v>
      </c>
      <c r="FB13" s="10">
        <v>0</v>
      </c>
      <c r="FC13" s="10">
        <v>0</v>
      </c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81">
        <v>8</v>
      </c>
      <c r="FL13" s="81">
        <v>2</v>
      </c>
      <c r="FM13" s="81">
        <v>2</v>
      </c>
      <c r="FN13" s="81">
        <v>0</v>
      </c>
      <c r="FO13" s="81">
        <v>8</v>
      </c>
      <c r="FP13" s="12">
        <v>1</v>
      </c>
      <c r="FQ13" s="12">
        <v>0</v>
      </c>
      <c r="FR13" s="12">
        <v>3</v>
      </c>
      <c r="FS13" s="12">
        <v>0</v>
      </c>
      <c r="FT13" s="12">
        <v>0</v>
      </c>
      <c r="FU13" s="12">
        <v>0</v>
      </c>
      <c r="FV13" s="12">
        <v>0</v>
      </c>
      <c r="FW13" s="12">
        <v>0</v>
      </c>
      <c r="FX13" s="12">
        <v>11</v>
      </c>
      <c r="FY13" s="12">
        <v>1</v>
      </c>
      <c r="FZ13" s="12">
        <v>0</v>
      </c>
      <c r="GA13" s="12">
        <v>5</v>
      </c>
      <c r="GB13" s="12">
        <v>0</v>
      </c>
      <c r="GC13" s="12">
        <v>0</v>
      </c>
      <c r="GD13" s="12">
        <v>7</v>
      </c>
      <c r="GE13" s="12">
        <v>0</v>
      </c>
      <c r="GF13" s="12">
        <v>2</v>
      </c>
      <c r="GG13" s="12">
        <v>6</v>
      </c>
      <c r="GH13" s="12">
        <v>3</v>
      </c>
      <c r="GI13" s="12">
        <v>0</v>
      </c>
      <c r="GJ13" s="12">
        <v>0</v>
      </c>
      <c r="GK13" s="12">
        <v>0</v>
      </c>
      <c r="GL13" s="12">
        <v>0</v>
      </c>
      <c r="GM13" s="12">
        <v>0</v>
      </c>
      <c r="GN13" s="12">
        <v>1</v>
      </c>
      <c r="GO13" s="12">
        <v>0</v>
      </c>
      <c r="GP13" s="12">
        <v>1</v>
      </c>
      <c r="GQ13" s="12">
        <v>0</v>
      </c>
      <c r="GR13" s="12">
        <v>1</v>
      </c>
      <c r="GS13" s="12">
        <v>2</v>
      </c>
      <c r="GT13" s="12">
        <v>0</v>
      </c>
      <c r="GU13" s="13">
        <v>51</v>
      </c>
      <c r="GV13" s="13">
        <v>0</v>
      </c>
      <c r="GW13" s="13">
        <v>0</v>
      </c>
      <c r="GX13" s="13">
        <v>0</v>
      </c>
      <c r="GY13" s="10">
        <v>0</v>
      </c>
      <c r="GZ13" s="10">
        <v>0</v>
      </c>
      <c r="HA13" s="10">
        <v>0</v>
      </c>
      <c r="HB13" s="10">
        <v>0</v>
      </c>
      <c r="HC13" s="10">
        <v>0</v>
      </c>
      <c r="HD13" s="10">
        <v>0</v>
      </c>
      <c r="HE13" s="10">
        <v>0</v>
      </c>
      <c r="HF13" s="10">
        <v>0</v>
      </c>
      <c r="HG13" s="10">
        <v>0</v>
      </c>
      <c r="HH13" s="10">
        <v>0</v>
      </c>
      <c r="HI13" s="10">
        <v>0</v>
      </c>
      <c r="HJ13" s="10">
        <v>0</v>
      </c>
      <c r="HK13" s="10">
        <v>0</v>
      </c>
      <c r="HL13" s="10">
        <v>0</v>
      </c>
      <c r="HM13" s="10">
        <v>0</v>
      </c>
      <c r="HN13" s="81">
        <v>0</v>
      </c>
      <c r="HO13" s="81">
        <v>0</v>
      </c>
      <c r="HP13" s="81">
        <v>0</v>
      </c>
      <c r="HQ13" s="81">
        <v>0</v>
      </c>
      <c r="HR13" s="81">
        <v>0</v>
      </c>
      <c r="HS13" s="12">
        <v>0</v>
      </c>
      <c r="HT13" s="12">
        <v>0</v>
      </c>
      <c r="HU13" s="12">
        <v>0</v>
      </c>
      <c r="HV13" s="12">
        <v>0</v>
      </c>
      <c r="HW13" s="12">
        <v>0</v>
      </c>
      <c r="HX13" s="12">
        <v>0</v>
      </c>
      <c r="HY13" s="12">
        <v>0</v>
      </c>
      <c r="HZ13" s="12">
        <v>0</v>
      </c>
      <c r="IA13" s="12">
        <v>0</v>
      </c>
      <c r="IB13" s="12">
        <v>0</v>
      </c>
      <c r="IC13" s="12">
        <v>0</v>
      </c>
      <c r="ID13" s="12">
        <v>0</v>
      </c>
      <c r="IE13" s="12">
        <v>0</v>
      </c>
      <c r="IF13" s="12">
        <v>0</v>
      </c>
      <c r="IG13" s="12">
        <v>0</v>
      </c>
      <c r="IH13" s="12">
        <v>0</v>
      </c>
      <c r="II13" s="12">
        <v>0</v>
      </c>
      <c r="IJ13" s="12">
        <v>0</v>
      </c>
      <c r="IK13" s="12">
        <v>0</v>
      </c>
      <c r="IL13" s="12">
        <v>0</v>
      </c>
      <c r="IM13" s="12">
        <v>0</v>
      </c>
      <c r="IN13" s="12">
        <v>0</v>
      </c>
      <c r="IO13" s="12">
        <v>0</v>
      </c>
      <c r="IP13" s="12">
        <v>0</v>
      </c>
      <c r="IQ13" s="12">
        <v>0</v>
      </c>
      <c r="IR13" s="12">
        <v>0</v>
      </c>
      <c r="IS13" s="12">
        <v>0</v>
      </c>
      <c r="IT13" s="12">
        <v>0</v>
      </c>
      <c r="IU13" s="12">
        <v>0</v>
      </c>
      <c r="IV13" s="12">
        <v>0</v>
      </c>
      <c r="IW13" s="12">
        <v>0</v>
      </c>
      <c r="IX13" s="11">
        <v>8686</v>
      </c>
      <c r="IY13" s="11">
        <v>8450</v>
      </c>
      <c r="IZ13" s="11">
        <v>8300</v>
      </c>
      <c r="JA13" s="85" t="s">
        <v>602</v>
      </c>
      <c r="JB13" s="85" t="s">
        <v>602</v>
      </c>
      <c r="JC13" s="85">
        <v>0</v>
      </c>
      <c r="JD13" s="12">
        <v>6</v>
      </c>
      <c r="JE13" s="12">
        <v>5</v>
      </c>
      <c r="JF13" s="12">
        <v>5</v>
      </c>
      <c r="JG13" s="12">
        <v>2</v>
      </c>
      <c r="JH13" s="12">
        <v>5</v>
      </c>
      <c r="JI13" s="12">
        <v>3</v>
      </c>
      <c r="JJ13" s="13" t="s">
        <v>619</v>
      </c>
      <c r="JK13" s="13" t="s">
        <v>619</v>
      </c>
      <c r="JL13" s="13" t="s">
        <v>296</v>
      </c>
      <c r="JM13" s="89"/>
      <c r="JN13" s="89"/>
      <c r="JO13" s="89" t="s">
        <v>296</v>
      </c>
      <c r="JP13" s="89"/>
      <c r="JQ13" s="89"/>
      <c r="JR13" s="89" t="s">
        <v>296</v>
      </c>
      <c r="JS13" s="89" t="s">
        <v>620</v>
      </c>
      <c r="JT13" s="89" t="s">
        <v>620</v>
      </c>
      <c r="JU13" s="89" t="s">
        <v>296</v>
      </c>
      <c r="JV13" s="89"/>
      <c r="JW13" s="89"/>
      <c r="JX13" s="89" t="s">
        <v>297</v>
      </c>
      <c r="JY13" s="12" t="s">
        <v>34</v>
      </c>
      <c r="JZ13" s="12" t="s">
        <v>34</v>
      </c>
      <c r="KA13" s="12" t="s">
        <v>619</v>
      </c>
      <c r="KB13" s="12" t="s">
        <v>34</v>
      </c>
      <c r="KC13" s="12" t="s">
        <v>619</v>
      </c>
      <c r="KD13" s="12" t="s">
        <v>619</v>
      </c>
      <c r="KE13" s="12" t="s">
        <v>34</v>
      </c>
      <c r="KF13" s="12"/>
      <c r="KG13" s="12" t="s">
        <v>619</v>
      </c>
      <c r="KH13" s="12" t="s">
        <v>34</v>
      </c>
      <c r="KI13" s="12" t="s">
        <v>34</v>
      </c>
      <c r="KJ13" s="12" t="s">
        <v>34</v>
      </c>
      <c r="KK13" s="12" t="s">
        <v>619</v>
      </c>
      <c r="KL13" s="12" t="s">
        <v>619</v>
      </c>
      <c r="KM13" s="12" t="s">
        <v>619</v>
      </c>
      <c r="KN13" s="12" t="s">
        <v>619</v>
      </c>
      <c r="KO13" s="12" t="s">
        <v>619</v>
      </c>
      <c r="KP13" s="12" t="s">
        <v>34</v>
      </c>
      <c r="KQ13" s="12" t="s">
        <v>619</v>
      </c>
      <c r="KR13" s="12" t="s">
        <v>619</v>
      </c>
      <c r="KS13" s="12" t="s">
        <v>34</v>
      </c>
      <c r="KT13" s="12" t="s">
        <v>34</v>
      </c>
      <c r="KU13" s="12" t="s">
        <v>34</v>
      </c>
      <c r="KV13" s="12" t="s">
        <v>34</v>
      </c>
      <c r="KW13" s="12" t="s">
        <v>619</v>
      </c>
      <c r="KX13" s="12" t="s">
        <v>34</v>
      </c>
      <c r="KY13" s="12" t="s">
        <v>619</v>
      </c>
      <c r="KZ13" s="12" t="s">
        <v>619</v>
      </c>
      <c r="LA13" s="12" t="s">
        <v>34</v>
      </c>
      <c r="LB13" s="12" t="s">
        <v>619</v>
      </c>
      <c r="LC13" s="12" t="s">
        <v>34</v>
      </c>
      <c r="LD13" s="12" t="s">
        <v>619</v>
      </c>
      <c r="LE13" s="12" t="s">
        <v>619</v>
      </c>
      <c r="LF13" s="12" t="s">
        <v>34</v>
      </c>
      <c r="LG13" s="12" t="s">
        <v>34</v>
      </c>
      <c r="LH13" s="12" t="s">
        <v>34</v>
      </c>
      <c r="LI13" s="12" t="s">
        <v>619</v>
      </c>
      <c r="LJ13" s="12" t="s">
        <v>619</v>
      </c>
      <c r="LK13" s="12" t="s">
        <v>619</v>
      </c>
      <c r="LL13" s="13" t="s">
        <v>34</v>
      </c>
      <c r="LM13" s="13" t="s">
        <v>34</v>
      </c>
      <c r="LN13" s="13" t="s">
        <v>619</v>
      </c>
      <c r="LO13" s="13" t="s">
        <v>34</v>
      </c>
      <c r="LP13" s="90" t="s">
        <v>619</v>
      </c>
      <c r="LQ13" s="13" t="s">
        <v>619</v>
      </c>
      <c r="LR13" s="13" t="s">
        <v>34</v>
      </c>
      <c r="LS13" s="13"/>
      <c r="LT13" s="13" t="s">
        <v>619</v>
      </c>
      <c r="LU13" s="13" t="s">
        <v>34</v>
      </c>
      <c r="LV13" s="13" t="s">
        <v>34</v>
      </c>
      <c r="LW13" s="13" t="s">
        <v>34</v>
      </c>
      <c r="LX13" s="13" t="s">
        <v>34</v>
      </c>
      <c r="LY13" s="13" t="s">
        <v>34</v>
      </c>
      <c r="LZ13" s="13" t="s">
        <v>619</v>
      </c>
      <c r="MA13" s="13" t="s">
        <v>619</v>
      </c>
      <c r="MB13" s="13" t="s">
        <v>619</v>
      </c>
      <c r="MC13" s="13" t="s">
        <v>34</v>
      </c>
      <c r="MD13" s="13" t="s">
        <v>619</v>
      </c>
      <c r="ME13" s="13" t="s">
        <v>619</v>
      </c>
      <c r="MF13" s="13" t="s">
        <v>34</v>
      </c>
      <c r="MG13" s="13" t="s">
        <v>34</v>
      </c>
      <c r="MH13" s="13" t="s">
        <v>34</v>
      </c>
      <c r="MI13" s="13" t="s">
        <v>34</v>
      </c>
      <c r="MJ13" s="13" t="s">
        <v>619</v>
      </c>
      <c r="MK13" s="13" t="s">
        <v>34</v>
      </c>
      <c r="ML13" s="13" t="s">
        <v>619</v>
      </c>
      <c r="MM13" s="13" t="s">
        <v>619</v>
      </c>
      <c r="MN13" s="13" t="s">
        <v>34</v>
      </c>
      <c r="MO13" s="13" t="s">
        <v>619</v>
      </c>
      <c r="MP13" s="13" t="s">
        <v>34</v>
      </c>
      <c r="MQ13" s="13" t="s">
        <v>619</v>
      </c>
      <c r="MR13" s="13" t="s">
        <v>619</v>
      </c>
      <c r="MS13" s="13" t="s">
        <v>34</v>
      </c>
      <c r="MT13" s="13" t="s">
        <v>34</v>
      </c>
      <c r="MU13" s="13" t="s">
        <v>34</v>
      </c>
      <c r="MV13" s="13" t="s">
        <v>34</v>
      </c>
      <c r="MW13" s="13" t="s">
        <v>619</v>
      </c>
      <c r="MX13" s="13" t="s">
        <v>619</v>
      </c>
      <c r="MY13" s="28" t="s">
        <v>297</v>
      </c>
      <c r="MZ13" s="28" t="s">
        <v>297</v>
      </c>
      <c r="NA13" s="28" t="s">
        <v>296</v>
      </c>
      <c r="NB13" s="28" t="s">
        <v>296</v>
      </c>
      <c r="NC13" s="28" t="s">
        <v>296</v>
      </c>
      <c r="ND13" s="28" t="s">
        <v>296</v>
      </c>
      <c r="NE13" s="28" t="s">
        <v>296</v>
      </c>
      <c r="NF13" s="28" t="s">
        <v>297</v>
      </c>
      <c r="NG13" s="28" t="s">
        <v>297</v>
      </c>
      <c r="NH13" s="28" t="s">
        <v>297</v>
      </c>
      <c r="NI13" s="177" t="s">
        <v>296</v>
      </c>
      <c r="NJ13" s="177" t="s">
        <v>297</v>
      </c>
      <c r="NK13" s="177" t="s">
        <v>296</v>
      </c>
      <c r="NL13" s="177" t="s">
        <v>297</v>
      </c>
      <c r="NM13" s="177" t="s">
        <v>296</v>
      </c>
      <c r="NN13" s="177" t="s">
        <v>296</v>
      </c>
      <c r="NO13" s="177" t="s">
        <v>296</v>
      </c>
      <c r="NP13" s="177" t="s">
        <v>297</v>
      </c>
      <c r="NQ13" s="177" t="s">
        <v>297</v>
      </c>
      <c r="NR13" s="12" t="s">
        <v>34</v>
      </c>
      <c r="NS13" s="13" t="s">
        <v>34</v>
      </c>
    </row>
    <row r="14" spans="1:383" x14ac:dyDescent="0.25">
      <c r="A14" s="8" t="s">
        <v>61</v>
      </c>
      <c r="B14" s="9" t="s">
        <v>62</v>
      </c>
      <c r="C14" s="9">
        <v>93</v>
      </c>
      <c r="D14" s="9" t="s">
        <v>42</v>
      </c>
      <c r="E14" s="10">
        <v>254</v>
      </c>
      <c r="F14" s="10">
        <v>253</v>
      </c>
      <c r="G14" s="10">
        <v>254</v>
      </c>
      <c r="H14" s="10">
        <v>246</v>
      </c>
      <c r="I14" s="10">
        <v>173</v>
      </c>
      <c r="J14" s="11">
        <v>1691</v>
      </c>
      <c r="K14" s="14">
        <v>1767</v>
      </c>
      <c r="L14" s="14">
        <v>1692</v>
      </c>
      <c r="M14" s="14">
        <v>1626</v>
      </c>
      <c r="N14" s="14">
        <v>966</v>
      </c>
      <c r="O14" s="13">
        <v>22091</v>
      </c>
      <c r="P14" s="13">
        <v>21779</v>
      </c>
      <c r="Q14" s="13">
        <v>21626</v>
      </c>
      <c r="R14" s="13">
        <v>20019</v>
      </c>
      <c r="S14" s="13">
        <v>10992</v>
      </c>
      <c r="T14" s="12">
        <v>8207</v>
      </c>
      <c r="U14" s="12">
        <v>9590</v>
      </c>
      <c r="V14" s="12">
        <v>8142</v>
      </c>
      <c r="W14" s="12">
        <v>8227</v>
      </c>
      <c r="X14" s="12">
        <v>3146</v>
      </c>
      <c r="Y14" s="12">
        <v>4.95</v>
      </c>
      <c r="Z14" s="12">
        <v>4.95</v>
      </c>
      <c r="AA14" s="12">
        <v>4.95</v>
      </c>
      <c r="AB14" s="13">
        <v>4.45</v>
      </c>
      <c r="AC14" s="13">
        <v>4.45</v>
      </c>
      <c r="AD14" s="13">
        <v>4.45</v>
      </c>
      <c r="AE14" s="35" t="s">
        <v>260</v>
      </c>
      <c r="AF14" s="35" t="s">
        <v>264</v>
      </c>
      <c r="AG14" s="35" t="s">
        <v>259</v>
      </c>
      <c r="AH14" s="38">
        <v>1</v>
      </c>
      <c r="AI14" s="38">
        <v>1</v>
      </c>
      <c r="AJ14" s="38">
        <v>1</v>
      </c>
      <c r="AK14" s="45" t="s">
        <v>288</v>
      </c>
      <c r="AL14" s="45" t="s">
        <v>289</v>
      </c>
      <c r="AM14" s="45" t="s">
        <v>34</v>
      </c>
      <c r="AN14" s="45" t="s">
        <v>34</v>
      </c>
      <c r="AO14" s="45" t="s">
        <v>34</v>
      </c>
      <c r="AP14" s="45" t="s">
        <v>292</v>
      </c>
      <c r="AQ14" s="53" t="s">
        <v>297</v>
      </c>
      <c r="AR14" s="56">
        <v>286</v>
      </c>
      <c r="AS14" s="57">
        <v>87</v>
      </c>
      <c r="AT14" s="56">
        <v>139</v>
      </c>
      <c r="AU14" s="57">
        <v>47966</v>
      </c>
      <c r="AV14" s="57">
        <v>19753</v>
      </c>
      <c r="AW14" s="57">
        <v>11527</v>
      </c>
      <c r="AX14" s="57">
        <v>13</v>
      </c>
      <c r="AY14" s="57">
        <v>16</v>
      </c>
      <c r="AZ14" s="57">
        <v>12</v>
      </c>
      <c r="BA14" s="57">
        <v>6438</v>
      </c>
      <c r="BB14" s="57">
        <v>10478</v>
      </c>
      <c r="BC14" s="57">
        <v>8862</v>
      </c>
      <c r="BD14" s="57">
        <v>2001</v>
      </c>
      <c r="BE14" s="57">
        <v>4945</v>
      </c>
      <c r="BF14" s="57">
        <v>3978</v>
      </c>
      <c r="BG14" s="57">
        <v>1576</v>
      </c>
      <c r="BH14" s="57">
        <v>2846</v>
      </c>
      <c r="BI14" s="57">
        <v>1882</v>
      </c>
      <c r="BJ14" s="57" t="s">
        <v>297</v>
      </c>
      <c r="BK14" s="57">
        <v>11</v>
      </c>
      <c r="BL14" s="57">
        <v>30</v>
      </c>
      <c r="BM14" s="57">
        <v>0</v>
      </c>
      <c r="BN14" s="57">
        <v>1500</v>
      </c>
      <c r="BO14" s="57">
        <v>1918</v>
      </c>
      <c r="BP14" s="57">
        <v>606</v>
      </c>
      <c r="BQ14" s="76">
        <v>1143</v>
      </c>
      <c r="BR14" s="76">
        <v>1144</v>
      </c>
      <c r="BS14">
        <v>1145</v>
      </c>
      <c r="BT14">
        <v>1145</v>
      </c>
      <c r="BU14">
        <v>1144</v>
      </c>
      <c r="BV14">
        <v>186018</v>
      </c>
      <c r="BW14">
        <v>186836</v>
      </c>
      <c r="BX14">
        <v>187173</v>
      </c>
      <c r="BY14">
        <v>187446</v>
      </c>
      <c r="BZ14">
        <v>186248</v>
      </c>
      <c r="CA14">
        <v>314</v>
      </c>
      <c r="CB14">
        <v>293</v>
      </c>
      <c r="CC14">
        <v>293</v>
      </c>
      <c r="CD14">
        <v>213</v>
      </c>
      <c r="CE14">
        <v>196</v>
      </c>
      <c r="CF14">
        <v>30298</v>
      </c>
      <c r="CG14">
        <v>31369</v>
      </c>
      <c r="CH14">
        <v>29768</v>
      </c>
      <c r="CI14">
        <v>28246</v>
      </c>
      <c r="CJ14">
        <v>14138</v>
      </c>
      <c r="CK14" s="10">
        <v>35</v>
      </c>
      <c r="CL14" s="10">
        <v>35</v>
      </c>
      <c r="CM14" s="10">
        <v>35</v>
      </c>
      <c r="CN14" s="14">
        <v>14.5</v>
      </c>
      <c r="CO14" s="14">
        <v>14.5</v>
      </c>
      <c r="CP14" s="14">
        <v>14.5</v>
      </c>
      <c r="CQ14" s="13">
        <v>54</v>
      </c>
      <c r="CR14" s="13">
        <v>37</v>
      </c>
      <c r="CS14" s="13">
        <v>2</v>
      </c>
      <c r="CT14" s="10">
        <v>0</v>
      </c>
      <c r="CU14" s="10">
        <v>0</v>
      </c>
      <c r="CV14" s="10">
        <v>12</v>
      </c>
      <c r="CW14" s="10">
        <v>7</v>
      </c>
      <c r="CX14" s="10">
        <v>0</v>
      </c>
      <c r="CY14" s="10">
        <v>0</v>
      </c>
      <c r="CZ14" s="10">
        <v>1</v>
      </c>
      <c r="DA14" s="10">
        <v>0</v>
      </c>
      <c r="DB14" s="10">
        <v>0</v>
      </c>
      <c r="DC14" s="10">
        <v>0</v>
      </c>
      <c r="DD14" s="10">
        <v>1</v>
      </c>
      <c r="DE14" s="10">
        <v>0</v>
      </c>
      <c r="DF14" s="10">
        <v>2</v>
      </c>
      <c r="DG14" s="10">
        <v>1</v>
      </c>
      <c r="DH14" s="10">
        <v>1</v>
      </c>
      <c r="DI14" s="81">
        <v>1</v>
      </c>
      <c r="DJ14" s="81">
        <v>3</v>
      </c>
      <c r="DK14" s="81">
        <v>28</v>
      </c>
      <c r="DL14" s="81">
        <v>0</v>
      </c>
      <c r="DM14" s="81">
        <v>3</v>
      </c>
      <c r="DN14" s="12">
        <v>8</v>
      </c>
      <c r="DO14" s="12">
        <v>6</v>
      </c>
      <c r="DP14" s="12">
        <v>9</v>
      </c>
      <c r="DQ14" s="12">
        <v>14</v>
      </c>
      <c r="DR14" s="12">
        <v>0</v>
      </c>
      <c r="DS14" s="12">
        <v>0</v>
      </c>
      <c r="DT14" s="12">
        <v>0</v>
      </c>
      <c r="DU14" s="12">
        <v>0</v>
      </c>
      <c r="DV14" s="12">
        <v>7</v>
      </c>
      <c r="DW14" s="12">
        <v>6</v>
      </c>
      <c r="DX14" s="12">
        <v>2</v>
      </c>
      <c r="DY14" s="12">
        <v>28</v>
      </c>
      <c r="DZ14" s="12">
        <v>1</v>
      </c>
      <c r="EA14" s="12">
        <v>0</v>
      </c>
      <c r="EB14" s="12">
        <v>16</v>
      </c>
      <c r="EC14" s="12">
        <v>2</v>
      </c>
      <c r="ED14" s="12">
        <v>13</v>
      </c>
      <c r="EE14" s="12">
        <v>12</v>
      </c>
      <c r="EF14" s="12">
        <v>6</v>
      </c>
      <c r="EG14" s="12">
        <v>0</v>
      </c>
      <c r="EH14" s="12">
        <v>0</v>
      </c>
      <c r="EI14" s="12">
        <v>0</v>
      </c>
      <c r="EJ14" s="12">
        <v>11</v>
      </c>
      <c r="EK14" s="12">
        <v>0</v>
      </c>
      <c r="EL14" s="12">
        <v>13</v>
      </c>
      <c r="EM14" s="12">
        <v>2</v>
      </c>
      <c r="EN14" s="12">
        <v>3</v>
      </c>
      <c r="EO14" s="12">
        <v>1</v>
      </c>
      <c r="EP14" s="12">
        <v>6</v>
      </c>
      <c r="EQ14" s="12">
        <v>6</v>
      </c>
      <c r="ER14" s="12">
        <v>2</v>
      </c>
      <c r="ES14" s="13">
        <v>11</v>
      </c>
      <c r="ET14" s="13">
        <v>19</v>
      </c>
      <c r="EU14" s="13">
        <v>0</v>
      </c>
      <c r="EV14" s="10">
        <v>0</v>
      </c>
      <c r="EW14" s="10">
        <v>0</v>
      </c>
      <c r="EX14" s="10">
        <v>0</v>
      </c>
      <c r="EY14" s="10">
        <v>1</v>
      </c>
      <c r="EZ14" s="10">
        <v>0</v>
      </c>
      <c r="FA14" s="10">
        <v>0</v>
      </c>
      <c r="FB14" s="10">
        <v>0</v>
      </c>
      <c r="FC14" s="10">
        <v>0</v>
      </c>
      <c r="FD14" s="10">
        <v>1</v>
      </c>
      <c r="FE14" s="10">
        <v>0</v>
      </c>
      <c r="FF14" s="10">
        <v>0</v>
      </c>
      <c r="FG14" s="10">
        <v>0</v>
      </c>
      <c r="FH14" s="10">
        <v>0</v>
      </c>
      <c r="FI14" s="10">
        <v>0</v>
      </c>
      <c r="FJ14" s="10">
        <v>0</v>
      </c>
      <c r="FK14" s="81">
        <v>0</v>
      </c>
      <c r="FL14" s="81">
        <v>2</v>
      </c>
      <c r="FM14" s="81">
        <v>7</v>
      </c>
      <c r="FN14" s="81">
        <v>0</v>
      </c>
      <c r="FO14" s="81">
        <v>0</v>
      </c>
      <c r="FP14" s="12">
        <v>1</v>
      </c>
      <c r="FQ14" s="12">
        <v>0</v>
      </c>
      <c r="FR14" s="12">
        <v>4</v>
      </c>
      <c r="FS14" s="12">
        <v>1</v>
      </c>
      <c r="FT14" s="12">
        <v>1</v>
      </c>
      <c r="FU14" s="12">
        <v>0</v>
      </c>
      <c r="FV14" s="12">
        <v>0</v>
      </c>
      <c r="FW14" s="12">
        <v>0</v>
      </c>
      <c r="FX14" s="12">
        <v>0</v>
      </c>
      <c r="FY14" s="12">
        <v>1</v>
      </c>
      <c r="FZ14" s="12">
        <v>0</v>
      </c>
      <c r="GA14" s="12">
        <v>6</v>
      </c>
      <c r="GB14" s="12">
        <v>0</v>
      </c>
      <c r="GC14" s="12">
        <v>0</v>
      </c>
      <c r="GD14" s="12">
        <v>4</v>
      </c>
      <c r="GE14" s="12">
        <v>0</v>
      </c>
      <c r="GF14" s="12">
        <v>6</v>
      </c>
      <c r="GG14" s="12">
        <v>0</v>
      </c>
      <c r="GH14" s="12">
        <v>0</v>
      </c>
      <c r="GI14" s="12">
        <v>0</v>
      </c>
      <c r="GJ14" s="12">
        <v>0</v>
      </c>
      <c r="GK14" s="12">
        <v>0</v>
      </c>
      <c r="GL14" s="12">
        <v>3</v>
      </c>
      <c r="GM14" s="12">
        <v>0</v>
      </c>
      <c r="GN14" s="12">
        <v>3</v>
      </c>
      <c r="GO14" s="12">
        <v>1</v>
      </c>
      <c r="GP14" s="12">
        <v>0</v>
      </c>
      <c r="GQ14" s="12">
        <v>1</v>
      </c>
      <c r="GR14" s="12">
        <v>1</v>
      </c>
      <c r="GS14" s="12">
        <v>0</v>
      </c>
      <c r="GT14" s="12">
        <v>2</v>
      </c>
      <c r="GU14" s="13">
        <v>87</v>
      </c>
      <c r="GV14" s="13">
        <v>80</v>
      </c>
      <c r="GW14" s="13">
        <v>70</v>
      </c>
      <c r="GX14" s="13">
        <v>0</v>
      </c>
      <c r="GY14" s="10">
        <v>0</v>
      </c>
      <c r="GZ14" s="10">
        <v>0</v>
      </c>
      <c r="HA14" s="10">
        <v>70</v>
      </c>
      <c r="HB14" s="10">
        <v>3</v>
      </c>
      <c r="HC14" s="10">
        <v>13</v>
      </c>
      <c r="HD14" s="10">
        <v>0</v>
      </c>
      <c r="HE14" s="10">
        <v>0</v>
      </c>
      <c r="HF14" s="10">
        <v>0</v>
      </c>
      <c r="HG14" s="10">
        <v>0</v>
      </c>
      <c r="HH14" s="10">
        <v>0</v>
      </c>
      <c r="HI14" s="10">
        <v>0</v>
      </c>
      <c r="HJ14" s="10">
        <v>0</v>
      </c>
      <c r="HK14" s="10">
        <v>7</v>
      </c>
      <c r="HL14" s="10">
        <v>0</v>
      </c>
      <c r="HM14" s="10">
        <v>12</v>
      </c>
      <c r="HN14" s="81">
        <v>0</v>
      </c>
      <c r="HO14" s="81">
        <v>0</v>
      </c>
      <c r="HP14" s="81">
        <v>6</v>
      </c>
      <c r="HQ14" s="81">
        <v>0</v>
      </c>
      <c r="HR14" s="81">
        <v>0</v>
      </c>
      <c r="HS14" s="12">
        <v>4</v>
      </c>
      <c r="HT14" s="12">
        <v>0</v>
      </c>
      <c r="HU14" s="12">
        <v>0</v>
      </c>
      <c r="HV14" s="12">
        <v>5</v>
      </c>
      <c r="HW14" s="12">
        <v>12</v>
      </c>
      <c r="HX14" s="12">
        <v>0</v>
      </c>
      <c r="HY14" s="12">
        <v>0</v>
      </c>
      <c r="HZ14" s="12">
        <v>0</v>
      </c>
      <c r="IA14" s="12">
        <v>3</v>
      </c>
      <c r="IB14" s="12">
        <v>5</v>
      </c>
      <c r="IC14" s="12">
        <v>0</v>
      </c>
      <c r="ID14" s="12">
        <v>7</v>
      </c>
      <c r="IE14" s="12">
        <v>0</v>
      </c>
      <c r="IF14" s="12">
        <v>0</v>
      </c>
      <c r="IG14" s="12">
        <v>24</v>
      </c>
      <c r="IH14" s="12">
        <v>0</v>
      </c>
      <c r="II14" s="12">
        <v>0</v>
      </c>
      <c r="IJ14" s="12">
        <v>0</v>
      </c>
      <c r="IK14" s="12">
        <v>0</v>
      </c>
      <c r="IL14" s="12">
        <v>0</v>
      </c>
      <c r="IM14" s="12">
        <v>0</v>
      </c>
      <c r="IN14" s="12">
        <v>0</v>
      </c>
      <c r="IO14" s="12">
        <v>2</v>
      </c>
      <c r="IP14" s="12">
        <v>0</v>
      </c>
      <c r="IQ14" s="12">
        <v>21</v>
      </c>
      <c r="IR14" s="12">
        <v>0</v>
      </c>
      <c r="IS14" s="12">
        <v>0</v>
      </c>
      <c r="IT14" s="12">
        <v>1</v>
      </c>
      <c r="IU14" s="12">
        <v>77</v>
      </c>
      <c r="IV14" s="12">
        <v>0</v>
      </c>
      <c r="IW14" s="12">
        <v>53</v>
      </c>
      <c r="IX14" s="14">
        <v>26400</v>
      </c>
      <c r="IY14" s="14">
        <v>26400</v>
      </c>
      <c r="IZ14" s="14">
        <v>26400</v>
      </c>
      <c r="JA14" s="85">
        <v>1</v>
      </c>
      <c r="JB14" s="85">
        <v>0</v>
      </c>
      <c r="JC14" s="85">
        <v>0</v>
      </c>
      <c r="JD14" s="12">
        <v>36</v>
      </c>
      <c r="JE14" s="12">
        <v>30</v>
      </c>
      <c r="JF14" s="12">
        <v>16</v>
      </c>
      <c r="JG14" s="12">
        <v>14</v>
      </c>
      <c r="JH14" s="12">
        <v>35</v>
      </c>
      <c r="JI14" s="12">
        <v>32</v>
      </c>
      <c r="JJ14" s="13" t="s">
        <v>619</v>
      </c>
      <c r="JK14" s="13" t="s">
        <v>619</v>
      </c>
      <c r="JL14" s="13" t="s">
        <v>296</v>
      </c>
      <c r="JM14" s="89"/>
      <c r="JN14" s="89"/>
      <c r="JO14" s="89" t="s">
        <v>296</v>
      </c>
      <c r="JP14" s="89"/>
      <c r="JQ14" s="89"/>
      <c r="JR14" s="89" t="s">
        <v>296</v>
      </c>
      <c r="JS14" s="89" t="s">
        <v>620</v>
      </c>
      <c r="JT14" s="89" t="s">
        <v>619</v>
      </c>
      <c r="JU14" s="89" t="s">
        <v>296</v>
      </c>
      <c r="JV14" s="89"/>
      <c r="JW14" s="89"/>
      <c r="JX14" s="89" t="s">
        <v>297</v>
      </c>
      <c r="JY14" s="12" t="s">
        <v>619</v>
      </c>
      <c r="JZ14" s="12" t="s">
        <v>34</v>
      </c>
      <c r="KA14" s="12" t="s">
        <v>619</v>
      </c>
      <c r="KB14" s="12" t="s">
        <v>34</v>
      </c>
      <c r="KC14" s="12" t="s">
        <v>619</v>
      </c>
      <c r="KD14" s="12" t="s">
        <v>34</v>
      </c>
      <c r="KE14" s="12" t="s">
        <v>34</v>
      </c>
      <c r="KF14" s="12"/>
      <c r="KG14" s="12" t="s">
        <v>34</v>
      </c>
      <c r="KH14" s="12" t="s">
        <v>34</v>
      </c>
      <c r="KI14" s="12" t="s">
        <v>34</v>
      </c>
      <c r="KJ14" s="12" t="s">
        <v>34</v>
      </c>
      <c r="KK14" s="12" t="s">
        <v>34</v>
      </c>
      <c r="KL14" s="12" t="s">
        <v>34</v>
      </c>
      <c r="KM14" s="12" t="s">
        <v>34</v>
      </c>
      <c r="KN14" s="12" t="s">
        <v>619</v>
      </c>
      <c r="KO14" s="12" t="s">
        <v>34</v>
      </c>
      <c r="KP14" s="12" t="s">
        <v>34</v>
      </c>
      <c r="KQ14" s="12" t="s">
        <v>619</v>
      </c>
      <c r="KR14" s="12" t="s">
        <v>619</v>
      </c>
      <c r="KS14" s="12" t="s">
        <v>34</v>
      </c>
      <c r="KT14" s="12" t="s">
        <v>619</v>
      </c>
      <c r="KU14" s="12" t="s">
        <v>34</v>
      </c>
      <c r="KV14" s="12" t="s">
        <v>34</v>
      </c>
      <c r="KW14" s="12" t="s">
        <v>34</v>
      </c>
      <c r="KX14" s="12" t="s">
        <v>34</v>
      </c>
      <c r="KY14" s="12" t="s">
        <v>34</v>
      </c>
      <c r="KZ14" s="12" t="s">
        <v>34</v>
      </c>
      <c r="LA14" s="12" t="s">
        <v>34</v>
      </c>
      <c r="LB14" s="12" t="s">
        <v>619</v>
      </c>
      <c r="LC14" s="12" t="s">
        <v>619</v>
      </c>
      <c r="LD14" s="12" t="s">
        <v>619</v>
      </c>
      <c r="LE14" s="12" t="s">
        <v>619</v>
      </c>
      <c r="LF14" s="12" t="s">
        <v>34</v>
      </c>
      <c r="LG14" s="12" t="s">
        <v>34</v>
      </c>
      <c r="LH14" s="12" t="s">
        <v>34</v>
      </c>
      <c r="LI14" s="12" t="s">
        <v>619</v>
      </c>
      <c r="LJ14" s="12" t="s">
        <v>619</v>
      </c>
      <c r="LK14" s="12" t="s">
        <v>34</v>
      </c>
      <c r="LL14" s="13" t="s">
        <v>619</v>
      </c>
      <c r="LM14" s="13" t="s">
        <v>34</v>
      </c>
      <c r="LN14" s="13" t="s">
        <v>619</v>
      </c>
      <c r="LO14" s="13" t="s">
        <v>34</v>
      </c>
      <c r="LP14" s="90" t="s">
        <v>619</v>
      </c>
      <c r="LQ14" s="13" t="s">
        <v>34</v>
      </c>
      <c r="LR14" s="13" t="s">
        <v>34</v>
      </c>
      <c r="LS14" s="13"/>
      <c r="LT14" s="13" t="s">
        <v>34</v>
      </c>
      <c r="LU14" s="13" t="s">
        <v>34</v>
      </c>
      <c r="LV14" s="13" t="s">
        <v>34</v>
      </c>
      <c r="LW14" s="13" t="s">
        <v>34</v>
      </c>
      <c r="LX14" s="13" t="s">
        <v>34</v>
      </c>
      <c r="LY14" s="13" t="s">
        <v>34</v>
      </c>
      <c r="LZ14" s="13" t="s">
        <v>34</v>
      </c>
      <c r="MA14" s="13" t="s">
        <v>619</v>
      </c>
      <c r="MB14" s="13" t="s">
        <v>34</v>
      </c>
      <c r="MC14" s="13" t="s">
        <v>34</v>
      </c>
      <c r="MD14" s="13" t="s">
        <v>619</v>
      </c>
      <c r="ME14" s="13" t="s">
        <v>34</v>
      </c>
      <c r="MF14" s="13" t="s">
        <v>34</v>
      </c>
      <c r="MG14" s="13" t="s">
        <v>619</v>
      </c>
      <c r="MH14" s="13" t="s">
        <v>34</v>
      </c>
      <c r="MI14" s="13" t="s">
        <v>34</v>
      </c>
      <c r="MJ14" s="13" t="s">
        <v>34</v>
      </c>
      <c r="MK14" s="13" t="s">
        <v>34</v>
      </c>
      <c r="ML14" s="13" t="s">
        <v>619</v>
      </c>
      <c r="MM14" s="13" t="s">
        <v>34</v>
      </c>
      <c r="MN14" s="13" t="s">
        <v>34</v>
      </c>
      <c r="MO14" s="13" t="s">
        <v>619</v>
      </c>
      <c r="MP14" s="13" t="s">
        <v>34</v>
      </c>
      <c r="MQ14" s="13" t="s">
        <v>619</v>
      </c>
      <c r="MR14" s="13" t="s">
        <v>619</v>
      </c>
      <c r="MS14" s="13" t="s">
        <v>34</v>
      </c>
      <c r="MT14" s="13" t="s">
        <v>34</v>
      </c>
      <c r="MU14" s="13" t="s">
        <v>34</v>
      </c>
      <c r="MV14" s="13" t="s">
        <v>34</v>
      </c>
      <c r="MW14" s="13" t="s">
        <v>619</v>
      </c>
      <c r="MX14" s="13" t="s">
        <v>619</v>
      </c>
      <c r="MY14" s="28" t="s">
        <v>296</v>
      </c>
      <c r="MZ14" s="28" t="s">
        <v>296</v>
      </c>
      <c r="NA14" s="28" t="s">
        <v>296</v>
      </c>
      <c r="NB14" s="28" t="s">
        <v>296</v>
      </c>
      <c r="NC14" s="28" t="s">
        <v>296</v>
      </c>
      <c r="ND14" s="28" t="s">
        <v>297</v>
      </c>
      <c r="NE14" s="28" t="s">
        <v>296</v>
      </c>
      <c r="NF14" s="28" t="s">
        <v>297</v>
      </c>
      <c r="NG14" s="28" t="s">
        <v>297</v>
      </c>
      <c r="NH14" s="28" t="s">
        <v>297</v>
      </c>
      <c r="NI14" s="177" t="s">
        <v>296</v>
      </c>
      <c r="NJ14" s="177" t="s">
        <v>297</v>
      </c>
      <c r="NK14" s="177" t="s">
        <v>296</v>
      </c>
      <c r="NL14" s="177" t="s">
        <v>296</v>
      </c>
      <c r="NM14" s="177" t="s">
        <v>296</v>
      </c>
      <c r="NN14" s="177" t="s">
        <v>296</v>
      </c>
      <c r="NO14" s="177" t="s">
        <v>296</v>
      </c>
      <c r="NP14" s="177" t="s">
        <v>296</v>
      </c>
      <c r="NQ14" s="177" t="s">
        <v>296</v>
      </c>
      <c r="NR14" s="12" t="s">
        <v>34</v>
      </c>
      <c r="NS14" s="13" t="s">
        <v>34</v>
      </c>
    </row>
    <row r="15" spans="1:383" x14ac:dyDescent="0.25">
      <c r="A15" s="8" t="s">
        <v>63</v>
      </c>
      <c r="B15" s="9" t="s">
        <v>64</v>
      </c>
      <c r="C15" s="9">
        <v>28</v>
      </c>
      <c r="D15" s="9" t="s">
        <v>65</v>
      </c>
      <c r="E15" s="10">
        <v>27</v>
      </c>
      <c r="F15" s="10">
        <v>24</v>
      </c>
      <c r="G15" s="10">
        <v>25</v>
      </c>
      <c r="H15" s="10">
        <v>24</v>
      </c>
      <c r="I15" s="10">
        <v>23</v>
      </c>
      <c r="J15" s="11">
        <v>99</v>
      </c>
      <c r="K15" s="11">
        <v>76</v>
      </c>
      <c r="L15" s="11">
        <v>113</v>
      </c>
      <c r="M15" s="11">
        <v>112</v>
      </c>
      <c r="N15" s="11">
        <v>98</v>
      </c>
      <c r="O15" s="13">
        <v>2287</v>
      </c>
      <c r="P15" s="13">
        <v>2959</v>
      </c>
      <c r="Q15" s="13">
        <v>3018</v>
      </c>
      <c r="R15" s="13">
        <v>3488</v>
      </c>
      <c r="S15" s="13">
        <v>2856</v>
      </c>
      <c r="T15" s="12">
        <v>114</v>
      </c>
      <c r="U15" s="12">
        <v>306</v>
      </c>
      <c r="V15" s="12">
        <v>350</v>
      </c>
      <c r="W15" s="12">
        <v>592</v>
      </c>
      <c r="X15" s="12">
        <v>533</v>
      </c>
      <c r="Y15" s="12">
        <v>6</v>
      </c>
      <c r="Z15" s="12">
        <v>6</v>
      </c>
      <c r="AA15" s="12">
        <v>6</v>
      </c>
      <c r="AB15" s="13">
        <v>6</v>
      </c>
      <c r="AC15" s="13">
        <v>6</v>
      </c>
      <c r="AD15" s="13">
        <v>6</v>
      </c>
      <c r="AE15" s="35" t="s">
        <v>258</v>
      </c>
      <c r="AF15" s="35" t="s">
        <v>258</v>
      </c>
      <c r="AG15" s="35" t="s">
        <v>258</v>
      </c>
      <c r="AH15" s="38">
        <v>0.5</v>
      </c>
      <c r="AI15" s="38">
        <v>0.5</v>
      </c>
      <c r="AJ15" s="38">
        <v>0.4</v>
      </c>
      <c r="AK15" s="45" t="s">
        <v>288</v>
      </c>
      <c r="AL15" s="45" t="s">
        <v>34</v>
      </c>
      <c r="AM15" s="45" t="s">
        <v>34</v>
      </c>
      <c r="AN15" s="45" t="s">
        <v>34</v>
      </c>
      <c r="AO15" s="45" t="s">
        <v>34</v>
      </c>
      <c r="AP15" s="45" t="s">
        <v>292</v>
      </c>
      <c r="AQ15" s="53" t="s">
        <v>297</v>
      </c>
      <c r="AR15" s="56">
        <v>170</v>
      </c>
      <c r="AS15" s="57">
        <v>76</v>
      </c>
      <c r="AT15" s="56">
        <v>117</v>
      </c>
      <c r="AU15" s="57">
        <v>15314</v>
      </c>
      <c r="AV15" s="57">
        <v>9521</v>
      </c>
      <c r="AW15" s="57">
        <v>12711</v>
      </c>
      <c r="AX15" s="57">
        <v>18</v>
      </c>
      <c r="AY15" s="57">
        <v>34</v>
      </c>
      <c r="AZ15" s="57">
        <v>34</v>
      </c>
      <c r="BA15" s="57">
        <v>756</v>
      </c>
      <c r="BB15" s="57">
        <v>3954</v>
      </c>
      <c r="BC15" s="57">
        <v>8295</v>
      </c>
      <c r="BD15" s="57">
        <v>797</v>
      </c>
      <c r="BE15" s="57">
        <v>3488</v>
      </c>
      <c r="BF15" s="57">
        <v>4845</v>
      </c>
      <c r="BG15" s="57">
        <v>1404</v>
      </c>
      <c r="BH15" s="57">
        <v>4847</v>
      </c>
      <c r="BI15" s="57">
        <v>6235</v>
      </c>
      <c r="BJ15" s="57" t="s">
        <v>297</v>
      </c>
      <c r="BK15" s="57">
        <v>18</v>
      </c>
      <c r="BL15" s="57">
        <v>1</v>
      </c>
      <c r="BM15" s="57">
        <v>0</v>
      </c>
      <c r="BN15" s="57">
        <v>182</v>
      </c>
      <c r="BO15" s="57">
        <v>2841</v>
      </c>
      <c r="BP15" s="57">
        <v>1714</v>
      </c>
      <c r="BQ15" s="76">
        <v>432</v>
      </c>
      <c r="BR15" s="76">
        <v>408</v>
      </c>
      <c r="BS15">
        <v>352</v>
      </c>
      <c r="BT15">
        <v>352</v>
      </c>
      <c r="BU15">
        <v>348</v>
      </c>
      <c r="BV15">
        <v>57441</v>
      </c>
      <c r="BW15">
        <v>56717</v>
      </c>
      <c r="BX15">
        <v>55946</v>
      </c>
      <c r="BY15">
        <v>54883</v>
      </c>
      <c r="BZ15">
        <v>53673</v>
      </c>
      <c r="CA15">
        <v>39</v>
      </c>
      <c r="CB15">
        <v>39</v>
      </c>
      <c r="CC15">
        <v>40</v>
      </c>
      <c r="CD15">
        <v>47</v>
      </c>
      <c r="CE15">
        <v>51</v>
      </c>
      <c r="CF15">
        <v>2401</v>
      </c>
      <c r="CG15">
        <v>3265</v>
      </c>
      <c r="CH15">
        <v>3368</v>
      </c>
      <c r="CI15">
        <v>4080</v>
      </c>
      <c r="CJ15">
        <v>3389</v>
      </c>
      <c r="CK15" s="10">
        <v>43</v>
      </c>
      <c r="CL15" s="10">
        <v>43</v>
      </c>
      <c r="CM15" s="10">
        <v>43</v>
      </c>
      <c r="CN15" s="11">
        <v>15</v>
      </c>
      <c r="CO15" s="11">
        <v>15</v>
      </c>
      <c r="CP15" s="11">
        <v>15</v>
      </c>
      <c r="CQ15" s="13">
        <v>0</v>
      </c>
      <c r="CR15" s="13">
        <v>0</v>
      </c>
      <c r="CS15" s="13">
        <v>0</v>
      </c>
      <c r="CT15" s="10">
        <v>0</v>
      </c>
      <c r="CU15" s="10">
        <v>0</v>
      </c>
      <c r="CV15" s="10">
        <v>0</v>
      </c>
      <c r="CW15" s="10">
        <v>0</v>
      </c>
      <c r="CX15" s="10">
        <v>0</v>
      </c>
      <c r="CY15" s="10">
        <v>0</v>
      </c>
      <c r="CZ15" s="10">
        <v>0</v>
      </c>
      <c r="DA15" s="10">
        <v>0</v>
      </c>
      <c r="DB15" s="10">
        <v>0</v>
      </c>
      <c r="DC15" s="10">
        <v>0</v>
      </c>
      <c r="DD15" s="10">
        <v>0</v>
      </c>
      <c r="DE15" s="10">
        <v>0</v>
      </c>
      <c r="DF15" s="10">
        <v>0</v>
      </c>
      <c r="DG15" s="10">
        <v>0</v>
      </c>
      <c r="DH15" s="10">
        <v>0</v>
      </c>
      <c r="DI15" s="81">
        <v>0</v>
      </c>
      <c r="DJ15" s="81">
        <v>0</v>
      </c>
      <c r="DK15" s="81">
        <v>0</v>
      </c>
      <c r="DL15" s="81">
        <v>0</v>
      </c>
      <c r="DM15" s="81">
        <v>0</v>
      </c>
      <c r="DN15" s="12">
        <v>0</v>
      </c>
      <c r="DO15" s="12">
        <v>0</v>
      </c>
      <c r="DP15" s="12">
        <v>0</v>
      </c>
      <c r="DQ15" s="12">
        <v>0</v>
      </c>
      <c r="DR15" s="12">
        <v>0</v>
      </c>
      <c r="DS15" s="12">
        <v>0</v>
      </c>
      <c r="DT15" s="12">
        <v>0</v>
      </c>
      <c r="DU15" s="12">
        <v>0</v>
      </c>
      <c r="DV15" s="12">
        <v>0</v>
      </c>
      <c r="DW15" s="12">
        <v>0</v>
      </c>
      <c r="DX15" s="12">
        <v>0</v>
      </c>
      <c r="DY15" s="12">
        <v>0</v>
      </c>
      <c r="DZ15" s="12">
        <v>0</v>
      </c>
      <c r="EA15" s="12">
        <v>0</v>
      </c>
      <c r="EB15" s="12">
        <v>0</v>
      </c>
      <c r="EC15" s="12">
        <v>0</v>
      </c>
      <c r="ED15" s="12">
        <v>0</v>
      </c>
      <c r="EE15" s="12">
        <v>0</v>
      </c>
      <c r="EF15" s="12">
        <v>0</v>
      </c>
      <c r="EG15" s="12">
        <v>0</v>
      </c>
      <c r="EH15" s="12">
        <v>0</v>
      </c>
      <c r="EI15" s="12">
        <v>0</v>
      </c>
      <c r="EJ15" s="12">
        <v>0</v>
      </c>
      <c r="EK15" s="12">
        <v>0</v>
      </c>
      <c r="EL15" s="12">
        <v>0</v>
      </c>
      <c r="EM15" s="12">
        <v>0</v>
      </c>
      <c r="EN15" s="12">
        <v>0</v>
      </c>
      <c r="EO15" s="12">
        <v>0</v>
      </c>
      <c r="EP15" s="12">
        <v>0</v>
      </c>
      <c r="EQ15" s="12">
        <v>0</v>
      </c>
      <c r="ER15" s="12">
        <v>0</v>
      </c>
      <c r="ES15" s="13">
        <v>6</v>
      </c>
      <c r="ET15" s="13">
        <v>7</v>
      </c>
      <c r="EU15" s="13">
        <v>0</v>
      </c>
      <c r="EV15" s="10">
        <v>0</v>
      </c>
      <c r="EW15" s="10">
        <v>0</v>
      </c>
      <c r="EX15" s="10">
        <v>6</v>
      </c>
      <c r="EY15" s="10">
        <v>0</v>
      </c>
      <c r="EZ15" s="10">
        <v>0</v>
      </c>
      <c r="FA15" s="10">
        <v>0</v>
      </c>
      <c r="FB15" s="10">
        <v>0</v>
      </c>
      <c r="FC15" s="10">
        <v>0</v>
      </c>
      <c r="FD15" s="10">
        <v>2</v>
      </c>
      <c r="FE15" s="10">
        <v>1</v>
      </c>
      <c r="FF15" s="10">
        <v>0</v>
      </c>
      <c r="FG15" s="10">
        <v>0</v>
      </c>
      <c r="FH15" s="10">
        <v>0</v>
      </c>
      <c r="FI15" s="10">
        <v>0</v>
      </c>
      <c r="FJ15" s="10">
        <v>6</v>
      </c>
      <c r="FK15" s="81">
        <v>0</v>
      </c>
      <c r="FL15" s="81">
        <v>3</v>
      </c>
      <c r="FM15" s="81">
        <v>1</v>
      </c>
      <c r="FN15" s="81">
        <v>0</v>
      </c>
      <c r="FO15" s="81">
        <v>5</v>
      </c>
      <c r="FP15" s="12">
        <v>7</v>
      </c>
      <c r="FQ15" s="12">
        <v>0</v>
      </c>
      <c r="FR15" s="12">
        <v>2</v>
      </c>
      <c r="FS15" s="12">
        <v>0</v>
      </c>
      <c r="FT15" s="12">
        <v>0</v>
      </c>
      <c r="FU15" s="12">
        <v>2</v>
      </c>
      <c r="FV15" s="12">
        <v>3</v>
      </c>
      <c r="FW15" s="12">
        <v>0</v>
      </c>
      <c r="FX15" s="12">
        <v>7</v>
      </c>
      <c r="FY15" s="12">
        <v>0</v>
      </c>
      <c r="FZ15" s="12">
        <v>0</v>
      </c>
      <c r="GA15" s="12">
        <v>2</v>
      </c>
      <c r="GB15" s="12">
        <v>0</v>
      </c>
      <c r="GC15" s="12">
        <v>0</v>
      </c>
      <c r="GD15" s="12">
        <v>2</v>
      </c>
      <c r="GE15" s="12">
        <v>0</v>
      </c>
      <c r="GF15" s="12">
        <v>3</v>
      </c>
      <c r="GG15" s="12">
        <v>0</v>
      </c>
      <c r="GH15" s="12">
        <v>7</v>
      </c>
      <c r="GI15" s="12">
        <v>5</v>
      </c>
      <c r="GJ15" s="12">
        <v>0</v>
      </c>
      <c r="GK15" s="12">
        <v>0</v>
      </c>
      <c r="GL15" s="12">
        <v>0</v>
      </c>
      <c r="GM15" s="12">
        <v>0</v>
      </c>
      <c r="GN15" s="12">
        <v>0</v>
      </c>
      <c r="GO15" s="12">
        <v>8</v>
      </c>
      <c r="GP15" s="12">
        <v>0</v>
      </c>
      <c r="GQ15" s="12">
        <v>6</v>
      </c>
      <c r="GR15" s="12">
        <v>5</v>
      </c>
      <c r="GS15" s="12">
        <v>0</v>
      </c>
      <c r="GT15" s="12">
        <v>0</v>
      </c>
      <c r="GU15" s="13">
        <v>76</v>
      </c>
      <c r="GV15" s="13">
        <v>1</v>
      </c>
      <c r="GW15" s="13">
        <v>4</v>
      </c>
      <c r="GX15" s="13">
        <v>1</v>
      </c>
      <c r="GY15" s="10">
        <v>0</v>
      </c>
      <c r="GZ15" s="10">
        <v>0</v>
      </c>
      <c r="HA15" s="10">
        <v>12</v>
      </c>
      <c r="HB15" s="10">
        <v>0</v>
      </c>
      <c r="HC15" s="10">
        <v>0</v>
      </c>
      <c r="HD15" s="10">
        <v>0</v>
      </c>
      <c r="HE15" s="10">
        <v>0</v>
      </c>
      <c r="HF15" s="10">
        <v>0</v>
      </c>
      <c r="HG15" s="10">
        <v>0</v>
      </c>
      <c r="HH15" s="10">
        <v>0</v>
      </c>
      <c r="HI15" s="10">
        <v>0</v>
      </c>
      <c r="HJ15" s="10">
        <v>0</v>
      </c>
      <c r="HK15" s="10">
        <v>0</v>
      </c>
      <c r="HL15" s="10">
        <v>0</v>
      </c>
      <c r="HM15" s="10">
        <v>0</v>
      </c>
      <c r="HN15" s="81">
        <v>0</v>
      </c>
      <c r="HO15" s="81">
        <v>0</v>
      </c>
      <c r="HP15" s="81">
        <v>0</v>
      </c>
      <c r="HQ15" s="81">
        <v>1</v>
      </c>
      <c r="HR15" s="81">
        <v>1</v>
      </c>
      <c r="HS15" s="12">
        <v>6</v>
      </c>
      <c r="HT15" s="12">
        <v>0</v>
      </c>
      <c r="HU15" s="12">
        <v>0</v>
      </c>
      <c r="HV15" s="12">
        <v>0</v>
      </c>
      <c r="HW15" s="12">
        <v>0</v>
      </c>
      <c r="HX15" s="12">
        <v>1</v>
      </c>
      <c r="HY15" s="12">
        <v>1</v>
      </c>
      <c r="HZ15" s="12">
        <v>0</v>
      </c>
      <c r="IA15" s="12">
        <v>0</v>
      </c>
      <c r="IB15" s="12">
        <v>1</v>
      </c>
      <c r="IC15" s="12">
        <v>0</v>
      </c>
      <c r="ID15" s="12">
        <v>1</v>
      </c>
      <c r="IE15" s="12">
        <v>0</v>
      </c>
      <c r="IF15" s="12">
        <v>0</v>
      </c>
      <c r="IG15" s="12">
        <v>1</v>
      </c>
      <c r="IH15" s="12">
        <v>0</v>
      </c>
      <c r="II15" s="12">
        <v>1</v>
      </c>
      <c r="IJ15" s="12">
        <v>0</v>
      </c>
      <c r="IK15" s="12">
        <v>1</v>
      </c>
      <c r="IL15" s="12">
        <v>0</v>
      </c>
      <c r="IM15" s="12">
        <v>0</v>
      </c>
      <c r="IN15" s="12">
        <v>0</v>
      </c>
      <c r="IO15" s="12">
        <v>0</v>
      </c>
      <c r="IP15" s="12">
        <v>0</v>
      </c>
      <c r="IQ15" s="12">
        <v>0</v>
      </c>
      <c r="IR15" s="12">
        <v>0</v>
      </c>
      <c r="IS15" s="12">
        <v>1</v>
      </c>
      <c r="IT15" s="12">
        <v>2</v>
      </c>
      <c r="IU15" s="12">
        <v>0</v>
      </c>
      <c r="IV15" s="12">
        <v>0</v>
      </c>
      <c r="IW15" s="12">
        <v>0</v>
      </c>
      <c r="IX15" s="11">
        <v>6000</v>
      </c>
      <c r="IY15" s="11">
        <v>6000</v>
      </c>
      <c r="IZ15" s="11">
        <v>6000</v>
      </c>
      <c r="JA15" s="85" t="s">
        <v>602</v>
      </c>
      <c r="JB15" s="85">
        <v>0</v>
      </c>
      <c r="JC15" s="85">
        <v>0</v>
      </c>
      <c r="JD15" s="12">
        <v>12</v>
      </c>
      <c r="JE15" s="12">
        <v>4</v>
      </c>
      <c r="JF15" s="12">
        <v>12</v>
      </c>
      <c r="JG15" s="12">
        <v>6</v>
      </c>
      <c r="JH15" s="12">
        <v>13</v>
      </c>
      <c r="JI15" s="12">
        <v>6</v>
      </c>
      <c r="JJ15" s="13" t="s">
        <v>619</v>
      </c>
      <c r="JK15" s="13" t="s">
        <v>619</v>
      </c>
      <c r="JL15" s="13" t="s">
        <v>296</v>
      </c>
      <c r="JM15" s="89"/>
      <c r="JN15" s="89"/>
      <c r="JO15" s="89" t="s">
        <v>296</v>
      </c>
      <c r="JP15" s="89"/>
      <c r="JQ15" s="89"/>
      <c r="JR15" s="89" t="s">
        <v>296</v>
      </c>
      <c r="JS15" s="89" t="s">
        <v>619</v>
      </c>
      <c r="JT15" s="89" t="s">
        <v>619</v>
      </c>
      <c r="JU15" s="89" t="s">
        <v>296</v>
      </c>
      <c r="JV15" s="89"/>
      <c r="JW15" s="89"/>
      <c r="JX15" s="89" t="s">
        <v>296</v>
      </c>
      <c r="JY15" s="12" t="s">
        <v>619</v>
      </c>
      <c r="JZ15" s="12" t="s">
        <v>34</v>
      </c>
      <c r="KA15" s="12" t="s">
        <v>34</v>
      </c>
      <c r="KB15" s="12" t="s">
        <v>34</v>
      </c>
      <c r="KC15" s="12" t="s">
        <v>34</v>
      </c>
      <c r="KD15" s="12" t="s">
        <v>34</v>
      </c>
      <c r="KE15" s="12" t="s">
        <v>34</v>
      </c>
      <c r="KF15" s="12"/>
      <c r="KG15" s="12" t="s">
        <v>34</v>
      </c>
      <c r="KH15" s="12" t="s">
        <v>34</v>
      </c>
      <c r="KI15" s="12" t="s">
        <v>619</v>
      </c>
      <c r="KJ15" s="12" t="s">
        <v>34</v>
      </c>
      <c r="KK15" s="12" t="s">
        <v>34</v>
      </c>
      <c r="KL15" s="12" t="s">
        <v>34</v>
      </c>
      <c r="KM15" s="12" t="s">
        <v>619</v>
      </c>
      <c r="KN15" s="12" t="s">
        <v>619</v>
      </c>
      <c r="KO15" s="12" t="s">
        <v>619</v>
      </c>
      <c r="KP15" s="12" t="s">
        <v>34</v>
      </c>
      <c r="KQ15" s="12" t="s">
        <v>34</v>
      </c>
      <c r="KR15" s="12" t="s">
        <v>619</v>
      </c>
      <c r="KS15" s="12" t="s">
        <v>34</v>
      </c>
      <c r="KT15" s="12" t="s">
        <v>34</v>
      </c>
      <c r="KU15" s="12" t="s">
        <v>34</v>
      </c>
      <c r="KV15" s="12" t="s">
        <v>34</v>
      </c>
      <c r="KW15" s="12" t="s">
        <v>34</v>
      </c>
      <c r="KX15" s="12" t="s">
        <v>34</v>
      </c>
      <c r="KY15" s="12" t="s">
        <v>34</v>
      </c>
      <c r="KZ15" s="12" t="s">
        <v>34</v>
      </c>
      <c r="LA15" s="12" t="s">
        <v>34</v>
      </c>
      <c r="LB15" s="12" t="s">
        <v>619</v>
      </c>
      <c r="LC15" s="12" t="s">
        <v>619</v>
      </c>
      <c r="LD15" s="12" t="s">
        <v>619</v>
      </c>
      <c r="LE15" s="12" t="s">
        <v>619</v>
      </c>
      <c r="LF15" s="12" t="s">
        <v>34</v>
      </c>
      <c r="LG15" s="12" t="s">
        <v>34</v>
      </c>
      <c r="LH15" s="12" t="s">
        <v>619</v>
      </c>
      <c r="LI15" s="12" t="s">
        <v>619</v>
      </c>
      <c r="LJ15" s="12" t="s">
        <v>619</v>
      </c>
      <c r="LK15" s="12" t="s">
        <v>34</v>
      </c>
      <c r="LL15" s="13" t="s">
        <v>34</v>
      </c>
      <c r="LM15" s="13" t="s">
        <v>34</v>
      </c>
      <c r="LN15" s="13" t="s">
        <v>34</v>
      </c>
      <c r="LO15" s="13" t="s">
        <v>34</v>
      </c>
      <c r="LP15" s="90" t="s">
        <v>34</v>
      </c>
      <c r="LQ15" s="13" t="s">
        <v>34</v>
      </c>
      <c r="LR15" s="13" t="s">
        <v>34</v>
      </c>
      <c r="LS15" s="13"/>
      <c r="LT15" s="13" t="s">
        <v>34</v>
      </c>
      <c r="LU15" s="13" t="s">
        <v>34</v>
      </c>
      <c r="LV15" s="13" t="s">
        <v>34</v>
      </c>
      <c r="LW15" s="13" t="s">
        <v>34</v>
      </c>
      <c r="LX15" s="13" t="s">
        <v>34</v>
      </c>
      <c r="LY15" s="13" t="s">
        <v>34</v>
      </c>
      <c r="LZ15" s="13" t="s">
        <v>34</v>
      </c>
      <c r="MA15" s="13" t="s">
        <v>34</v>
      </c>
      <c r="MB15" s="13" t="s">
        <v>34</v>
      </c>
      <c r="MC15" s="13" t="s">
        <v>34</v>
      </c>
      <c r="MD15" s="13" t="s">
        <v>34</v>
      </c>
      <c r="ME15" s="13" t="s">
        <v>619</v>
      </c>
      <c r="MF15" s="13" t="s">
        <v>34</v>
      </c>
      <c r="MG15" s="13" t="s">
        <v>34</v>
      </c>
      <c r="MH15" s="13" t="s">
        <v>34</v>
      </c>
      <c r="MI15" s="13" t="s">
        <v>34</v>
      </c>
      <c r="MJ15" s="13" t="s">
        <v>34</v>
      </c>
      <c r="MK15" s="13" t="s">
        <v>34</v>
      </c>
      <c r="ML15" s="13" t="s">
        <v>34</v>
      </c>
      <c r="MM15" s="13" t="s">
        <v>34</v>
      </c>
      <c r="MN15" s="13" t="s">
        <v>34</v>
      </c>
      <c r="MO15" s="13" t="s">
        <v>34</v>
      </c>
      <c r="MP15" s="13" t="s">
        <v>619</v>
      </c>
      <c r="MQ15" s="13" t="s">
        <v>34</v>
      </c>
      <c r="MR15" s="13" t="s">
        <v>34</v>
      </c>
      <c r="MS15" s="13" t="s">
        <v>34</v>
      </c>
      <c r="MT15" s="13" t="s">
        <v>34</v>
      </c>
      <c r="MU15" s="13" t="s">
        <v>34</v>
      </c>
      <c r="MV15" s="13" t="s">
        <v>34</v>
      </c>
      <c r="MW15" s="13" t="s">
        <v>34</v>
      </c>
      <c r="MX15" s="13" t="s">
        <v>34</v>
      </c>
      <c r="MY15" s="28" t="s">
        <v>296</v>
      </c>
      <c r="MZ15" s="28" t="s">
        <v>296</v>
      </c>
      <c r="NA15" s="28" t="s">
        <v>297</v>
      </c>
      <c r="NB15" s="28" t="s">
        <v>296</v>
      </c>
      <c r="NC15" s="28" t="s">
        <v>296</v>
      </c>
      <c r="ND15" s="28" t="s">
        <v>296</v>
      </c>
      <c r="NE15" s="28" t="s">
        <v>296</v>
      </c>
      <c r="NF15" s="28" t="s">
        <v>296</v>
      </c>
      <c r="NG15" s="28" t="s">
        <v>297</v>
      </c>
      <c r="NH15" s="28" t="s">
        <v>297</v>
      </c>
      <c r="NI15" s="177" t="s">
        <v>297</v>
      </c>
      <c r="NJ15" s="177" t="s">
        <v>297</v>
      </c>
      <c r="NK15" s="177" t="s">
        <v>296</v>
      </c>
      <c r="NL15" s="177" t="s">
        <v>296</v>
      </c>
      <c r="NM15" s="177" t="s">
        <v>296</v>
      </c>
      <c r="NN15" s="177" t="s">
        <v>296</v>
      </c>
      <c r="NO15" s="177" t="s">
        <v>296</v>
      </c>
      <c r="NP15" s="177" t="s">
        <v>297</v>
      </c>
      <c r="NQ15" s="177" t="s">
        <v>297</v>
      </c>
      <c r="NR15" s="12" t="s">
        <v>34</v>
      </c>
      <c r="NS15" s="13" t="s">
        <v>34</v>
      </c>
    </row>
    <row r="16" spans="1:383" x14ac:dyDescent="0.25">
      <c r="A16" s="8" t="s">
        <v>66</v>
      </c>
      <c r="B16" s="9" t="s">
        <v>67</v>
      </c>
      <c r="C16" s="9">
        <v>84</v>
      </c>
      <c r="D16" s="9" t="s">
        <v>33</v>
      </c>
      <c r="E16" s="10">
        <v>106</v>
      </c>
      <c r="F16" s="10">
        <v>103</v>
      </c>
      <c r="G16" s="10">
        <v>105</v>
      </c>
      <c r="H16" s="10">
        <v>97</v>
      </c>
      <c r="I16" s="10">
        <v>84</v>
      </c>
      <c r="J16" s="11">
        <v>135</v>
      </c>
      <c r="K16" s="11">
        <v>131</v>
      </c>
      <c r="L16" s="11">
        <v>107</v>
      </c>
      <c r="M16" s="11">
        <v>84</v>
      </c>
      <c r="N16" s="11">
        <v>20</v>
      </c>
      <c r="O16" s="13">
        <v>2500</v>
      </c>
      <c r="P16" s="13">
        <v>1686</v>
      </c>
      <c r="Q16" s="13">
        <v>2155</v>
      </c>
      <c r="R16" s="13">
        <v>2518</v>
      </c>
      <c r="S16" s="13">
        <v>943</v>
      </c>
      <c r="T16" s="12">
        <v>153</v>
      </c>
      <c r="U16" s="12">
        <v>182</v>
      </c>
      <c r="V16" s="12">
        <v>109</v>
      </c>
      <c r="W16" s="12">
        <v>106</v>
      </c>
      <c r="X16" s="12">
        <v>55</v>
      </c>
      <c r="Y16" s="12">
        <v>6.3</v>
      </c>
      <c r="Z16" s="12">
        <v>6.4</v>
      </c>
      <c r="AA16" s="12">
        <v>6.4</v>
      </c>
      <c r="AB16" s="13">
        <v>6.3</v>
      </c>
      <c r="AC16" s="13">
        <v>6.35</v>
      </c>
      <c r="AD16" s="13">
        <v>6.4</v>
      </c>
      <c r="AE16" s="35" t="s">
        <v>258</v>
      </c>
      <c r="AF16" s="35" t="s">
        <v>258</v>
      </c>
      <c r="AG16" s="35" t="s">
        <v>258</v>
      </c>
      <c r="AH16" s="38">
        <v>0.5</v>
      </c>
      <c r="AI16" s="38">
        <v>0.5</v>
      </c>
      <c r="AJ16" s="38">
        <v>0.4</v>
      </c>
      <c r="AK16" s="45" t="s">
        <v>288</v>
      </c>
      <c r="AL16" s="45" t="s">
        <v>34</v>
      </c>
      <c r="AM16" s="45" t="s">
        <v>34</v>
      </c>
      <c r="AN16" s="45" t="s">
        <v>34</v>
      </c>
      <c r="AO16" s="45" t="s">
        <v>34</v>
      </c>
      <c r="AP16" s="45" t="s">
        <v>292</v>
      </c>
      <c r="AQ16" s="53" t="s">
        <v>296</v>
      </c>
      <c r="AR16" s="56">
        <v>119</v>
      </c>
      <c r="AS16" s="57">
        <v>87</v>
      </c>
      <c r="AT16" s="56">
        <v>49</v>
      </c>
      <c r="AU16" s="57">
        <v>20445</v>
      </c>
      <c r="AV16" s="57">
        <v>16402</v>
      </c>
      <c r="AW16" s="57">
        <v>4650</v>
      </c>
      <c r="AX16" s="57">
        <v>11</v>
      </c>
      <c r="AY16" s="57">
        <v>4</v>
      </c>
      <c r="AZ16" s="57">
        <v>0</v>
      </c>
      <c r="BA16" s="57">
        <v>2145</v>
      </c>
      <c r="BB16" s="57">
        <v>6020</v>
      </c>
      <c r="BC16" s="57">
        <v>12590</v>
      </c>
      <c r="BD16" s="57">
        <v>1705</v>
      </c>
      <c r="BE16" s="57">
        <v>7120</v>
      </c>
      <c r="BF16" s="57">
        <v>6350</v>
      </c>
      <c r="BG16" s="57">
        <v>480</v>
      </c>
      <c r="BH16" s="57">
        <v>1595</v>
      </c>
      <c r="BI16" s="57">
        <v>2255</v>
      </c>
      <c r="BJ16" s="57" t="s">
        <v>296</v>
      </c>
      <c r="BK16" s="57">
        <v>3</v>
      </c>
      <c r="BL16" s="57">
        <v>0</v>
      </c>
      <c r="BM16" s="57">
        <v>1</v>
      </c>
      <c r="BN16" s="57">
        <v>250</v>
      </c>
      <c r="BO16" s="57">
        <v>160</v>
      </c>
      <c r="BP16" s="57">
        <v>350</v>
      </c>
      <c r="BQ16" s="76">
        <v>147</v>
      </c>
      <c r="BR16" s="76">
        <v>145</v>
      </c>
      <c r="BS16">
        <v>143</v>
      </c>
      <c r="BT16">
        <v>143</v>
      </c>
      <c r="BU16">
        <v>141</v>
      </c>
      <c r="BV16">
        <v>9645</v>
      </c>
      <c r="BW16">
        <v>9518</v>
      </c>
      <c r="BX16">
        <v>9404</v>
      </c>
      <c r="BY16">
        <v>9199</v>
      </c>
      <c r="BZ16">
        <v>8952</v>
      </c>
      <c r="CA16">
        <v>118</v>
      </c>
      <c r="CB16">
        <v>110</v>
      </c>
      <c r="CC16">
        <v>117</v>
      </c>
      <c r="CD16">
        <v>112</v>
      </c>
      <c r="CE16">
        <v>109</v>
      </c>
      <c r="CF16">
        <v>2653</v>
      </c>
      <c r="CG16">
        <v>1868</v>
      </c>
      <c r="CH16">
        <v>2264</v>
      </c>
      <c r="CI16">
        <v>2624</v>
      </c>
      <c r="CJ16">
        <v>998</v>
      </c>
      <c r="CK16" s="10">
        <v>48</v>
      </c>
      <c r="CL16" s="10">
        <v>48.1</v>
      </c>
      <c r="CM16" s="10">
        <v>48.1</v>
      </c>
      <c r="CN16" s="11">
        <v>17.3</v>
      </c>
      <c r="CO16" s="11">
        <v>17.350000000000001</v>
      </c>
      <c r="CP16" s="11">
        <v>17.350000000000001</v>
      </c>
      <c r="CQ16" s="13">
        <v>14</v>
      </c>
      <c r="CR16" s="13">
        <v>14</v>
      </c>
      <c r="CS16" s="13">
        <v>3</v>
      </c>
      <c r="CT16" s="10">
        <v>0</v>
      </c>
      <c r="CU16" s="10">
        <v>3</v>
      </c>
      <c r="CV16" s="10">
        <v>23</v>
      </c>
      <c r="CW16" s="10">
        <v>8</v>
      </c>
      <c r="CX16" s="10">
        <v>6</v>
      </c>
      <c r="CY16" s="10">
        <v>3</v>
      </c>
      <c r="CZ16" s="10">
        <v>3</v>
      </c>
      <c r="DA16" s="10">
        <v>4</v>
      </c>
      <c r="DB16" s="10">
        <v>12</v>
      </c>
      <c r="DC16" s="10">
        <v>0</v>
      </c>
      <c r="DD16" s="10">
        <v>0</v>
      </c>
      <c r="DE16" s="10">
        <v>5</v>
      </c>
      <c r="DF16" s="10">
        <v>2</v>
      </c>
      <c r="DG16" s="10">
        <v>1</v>
      </c>
      <c r="DH16" s="10">
        <v>1</v>
      </c>
      <c r="DI16" s="81">
        <v>11</v>
      </c>
      <c r="DJ16" s="81">
        <v>9</v>
      </c>
      <c r="DK16" s="81">
        <v>3</v>
      </c>
      <c r="DL16" s="81">
        <v>0</v>
      </c>
      <c r="DM16" s="81">
        <v>20</v>
      </c>
      <c r="DN16" s="12">
        <v>2</v>
      </c>
      <c r="DO16" s="12">
        <v>1</v>
      </c>
      <c r="DP16" s="12">
        <v>1</v>
      </c>
      <c r="DQ16" s="12">
        <v>2</v>
      </c>
      <c r="DR16" s="12">
        <v>0</v>
      </c>
      <c r="DS16" s="12">
        <v>0</v>
      </c>
      <c r="DT16" s="12">
        <v>0</v>
      </c>
      <c r="DU16" s="12">
        <v>0</v>
      </c>
      <c r="DV16" s="12">
        <v>13</v>
      </c>
      <c r="DW16" s="12">
        <v>2</v>
      </c>
      <c r="DX16" s="12">
        <v>5</v>
      </c>
      <c r="DY16" s="12">
        <v>2</v>
      </c>
      <c r="DZ16" s="12">
        <v>0</v>
      </c>
      <c r="EA16" s="12">
        <v>0</v>
      </c>
      <c r="EB16" s="12">
        <v>6</v>
      </c>
      <c r="EC16" s="12">
        <v>1</v>
      </c>
      <c r="ED16" s="12">
        <v>9</v>
      </c>
      <c r="EE16" s="12">
        <v>17</v>
      </c>
      <c r="EF16" s="12">
        <v>5</v>
      </c>
      <c r="EG16" s="12">
        <v>0</v>
      </c>
      <c r="EH16" s="12">
        <v>0</v>
      </c>
      <c r="EI16" s="12">
        <v>0</v>
      </c>
      <c r="EJ16" s="12">
        <v>6</v>
      </c>
      <c r="EK16" s="12">
        <v>0</v>
      </c>
      <c r="EL16" s="12">
        <v>8</v>
      </c>
      <c r="EM16" s="12">
        <v>0</v>
      </c>
      <c r="EN16" s="12">
        <v>2</v>
      </c>
      <c r="EO16" s="12">
        <v>1</v>
      </c>
      <c r="EP16" s="12">
        <v>2</v>
      </c>
      <c r="EQ16" s="12">
        <v>7</v>
      </c>
      <c r="ER16" s="12">
        <v>0</v>
      </c>
      <c r="ES16" s="13">
        <v>5</v>
      </c>
      <c r="ET16" s="13">
        <v>15</v>
      </c>
      <c r="EU16" s="13">
        <v>0</v>
      </c>
      <c r="EV16" s="10">
        <v>0</v>
      </c>
      <c r="EW16" s="10">
        <v>0</v>
      </c>
      <c r="EX16" s="10">
        <v>12</v>
      </c>
      <c r="EY16" s="10">
        <v>1</v>
      </c>
      <c r="EZ16" s="10">
        <v>1</v>
      </c>
      <c r="FA16" s="10">
        <v>0</v>
      </c>
      <c r="FB16" s="10">
        <v>3</v>
      </c>
      <c r="FC16" s="10">
        <v>3</v>
      </c>
      <c r="FD16" s="10">
        <v>1</v>
      </c>
      <c r="FE16" s="10">
        <v>0</v>
      </c>
      <c r="FF16" s="10">
        <v>0</v>
      </c>
      <c r="FG16" s="10">
        <v>3</v>
      </c>
      <c r="FH16" s="10">
        <v>1</v>
      </c>
      <c r="FI16" s="10">
        <v>1</v>
      </c>
      <c r="FJ16" s="10">
        <v>3</v>
      </c>
      <c r="FK16" s="81">
        <v>10</v>
      </c>
      <c r="FL16" s="81">
        <v>11</v>
      </c>
      <c r="FM16" s="81">
        <v>0</v>
      </c>
      <c r="FN16" s="81">
        <v>0</v>
      </c>
      <c r="FO16" s="81">
        <v>24</v>
      </c>
      <c r="FP16" s="12">
        <v>0</v>
      </c>
      <c r="FQ16" s="12">
        <v>0</v>
      </c>
      <c r="FR16" s="12">
        <v>0</v>
      </c>
      <c r="FS16" s="12">
        <v>0</v>
      </c>
      <c r="FT16" s="12">
        <v>0</v>
      </c>
      <c r="FU16" s="12">
        <v>0</v>
      </c>
      <c r="FV16" s="12">
        <v>0</v>
      </c>
      <c r="FW16" s="12">
        <v>0</v>
      </c>
      <c r="FX16" s="12">
        <v>7</v>
      </c>
      <c r="FY16" s="12">
        <v>3</v>
      </c>
      <c r="FZ16" s="12">
        <v>1</v>
      </c>
      <c r="GA16" s="12">
        <v>0</v>
      </c>
      <c r="GB16" s="12">
        <v>0</v>
      </c>
      <c r="GC16" s="12">
        <v>0</v>
      </c>
      <c r="GD16" s="12">
        <v>1</v>
      </c>
      <c r="GE16" s="12">
        <v>0</v>
      </c>
      <c r="GF16" s="12">
        <v>0</v>
      </c>
      <c r="GG16" s="12">
        <v>6</v>
      </c>
      <c r="GH16" s="12">
        <v>9</v>
      </c>
      <c r="GI16" s="12">
        <v>0</v>
      </c>
      <c r="GJ16" s="12">
        <v>0</v>
      </c>
      <c r="GK16" s="12">
        <v>0</v>
      </c>
      <c r="GL16" s="12">
        <v>3</v>
      </c>
      <c r="GM16" s="12">
        <v>0</v>
      </c>
      <c r="GN16" s="12">
        <v>5</v>
      </c>
      <c r="GO16" s="12">
        <v>0</v>
      </c>
      <c r="GP16" s="12">
        <v>2</v>
      </c>
      <c r="GQ16" s="12">
        <v>0</v>
      </c>
      <c r="GR16" s="12">
        <v>0</v>
      </c>
      <c r="GS16" s="12">
        <v>1</v>
      </c>
      <c r="GT16" s="12">
        <v>0</v>
      </c>
      <c r="GU16" s="13">
        <v>87</v>
      </c>
      <c r="GV16" s="13">
        <v>0</v>
      </c>
      <c r="GW16" s="13">
        <v>0</v>
      </c>
      <c r="GX16" s="13">
        <v>0</v>
      </c>
      <c r="GY16" s="10">
        <v>0</v>
      </c>
      <c r="GZ16" s="10">
        <v>0</v>
      </c>
      <c r="HA16" s="10">
        <v>25</v>
      </c>
      <c r="HB16" s="10">
        <v>7</v>
      </c>
      <c r="HC16" s="10">
        <v>0</v>
      </c>
      <c r="HD16" s="10">
        <v>0</v>
      </c>
      <c r="HE16" s="10">
        <v>0</v>
      </c>
      <c r="HF16" s="10">
        <v>17</v>
      </c>
      <c r="HG16" s="10">
        <v>0</v>
      </c>
      <c r="HH16" s="10">
        <v>0</v>
      </c>
      <c r="HI16" s="10">
        <v>0</v>
      </c>
      <c r="HJ16" s="10">
        <v>0</v>
      </c>
      <c r="HK16" s="10">
        <v>0</v>
      </c>
      <c r="HL16" s="10">
        <v>0</v>
      </c>
      <c r="HM16" s="10">
        <v>0</v>
      </c>
      <c r="HN16" s="81">
        <v>0</v>
      </c>
      <c r="HO16" s="81">
        <v>0</v>
      </c>
      <c r="HP16" s="81">
        <v>0</v>
      </c>
      <c r="HQ16" s="81">
        <v>0</v>
      </c>
      <c r="HR16" s="81">
        <v>0</v>
      </c>
      <c r="HS16" s="12">
        <v>0</v>
      </c>
      <c r="HT16" s="12">
        <v>0</v>
      </c>
      <c r="HU16" s="12">
        <v>0</v>
      </c>
      <c r="HV16" s="12">
        <v>0</v>
      </c>
      <c r="HW16" s="12">
        <v>0</v>
      </c>
      <c r="HX16" s="12">
        <v>0</v>
      </c>
      <c r="HY16" s="12">
        <v>0</v>
      </c>
      <c r="HZ16" s="12">
        <v>0</v>
      </c>
      <c r="IA16" s="12">
        <v>0</v>
      </c>
      <c r="IB16" s="12">
        <v>0</v>
      </c>
      <c r="IC16" s="12">
        <v>0</v>
      </c>
      <c r="ID16" s="12">
        <v>0</v>
      </c>
      <c r="IE16" s="12">
        <v>0</v>
      </c>
      <c r="IF16" s="12">
        <v>0</v>
      </c>
      <c r="IG16" s="12">
        <v>0</v>
      </c>
      <c r="IH16" s="12">
        <v>0</v>
      </c>
      <c r="II16" s="12">
        <v>0</v>
      </c>
      <c r="IJ16" s="12">
        <v>0</v>
      </c>
      <c r="IK16" s="12">
        <v>0</v>
      </c>
      <c r="IL16" s="12">
        <v>0</v>
      </c>
      <c r="IM16" s="12">
        <v>0</v>
      </c>
      <c r="IN16" s="12">
        <v>0</v>
      </c>
      <c r="IO16" s="12">
        <v>0</v>
      </c>
      <c r="IP16" s="12">
        <v>0</v>
      </c>
      <c r="IQ16" s="12">
        <v>0</v>
      </c>
      <c r="IR16" s="12">
        <v>0</v>
      </c>
      <c r="IS16" s="12">
        <v>0</v>
      </c>
      <c r="IT16" s="12">
        <v>0</v>
      </c>
      <c r="IU16" s="12">
        <v>0</v>
      </c>
      <c r="IV16" s="12">
        <v>0</v>
      </c>
      <c r="IW16" s="12">
        <v>0</v>
      </c>
      <c r="IX16" s="11">
        <v>13750</v>
      </c>
      <c r="IY16" s="11">
        <v>13750</v>
      </c>
      <c r="IZ16" s="11">
        <v>13750</v>
      </c>
      <c r="JA16" s="85">
        <v>1</v>
      </c>
      <c r="JB16" s="85">
        <v>0</v>
      </c>
      <c r="JC16" s="85">
        <v>0</v>
      </c>
      <c r="JD16" s="12">
        <v>5</v>
      </c>
      <c r="JE16" s="12">
        <v>5</v>
      </c>
      <c r="JF16" s="12">
        <v>5</v>
      </c>
      <c r="JG16" s="12">
        <v>5</v>
      </c>
      <c r="JH16" s="12">
        <v>4</v>
      </c>
      <c r="JI16" s="12">
        <v>4</v>
      </c>
      <c r="JJ16" s="13" t="s">
        <v>619</v>
      </c>
      <c r="JK16" s="13" t="s">
        <v>619</v>
      </c>
      <c r="JL16" s="13" t="s">
        <v>296</v>
      </c>
      <c r="JM16" s="89"/>
      <c r="JN16" s="89"/>
      <c r="JO16" s="89" t="s">
        <v>296</v>
      </c>
      <c r="JP16" s="89"/>
      <c r="JQ16" s="89"/>
      <c r="JR16" s="89" t="s">
        <v>296</v>
      </c>
      <c r="JS16" s="89" t="s">
        <v>620</v>
      </c>
      <c r="JT16" s="89" t="s">
        <v>620</v>
      </c>
      <c r="JU16" s="89" t="s">
        <v>296</v>
      </c>
      <c r="JV16" s="89"/>
      <c r="JW16" s="89"/>
      <c r="JX16" s="89" t="s">
        <v>297</v>
      </c>
      <c r="JY16" s="12" t="s">
        <v>619</v>
      </c>
      <c r="JZ16" s="12" t="s">
        <v>34</v>
      </c>
      <c r="KA16" s="12" t="s">
        <v>34</v>
      </c>
      <c r="KB16" s="12" t="s">
        <v>34</v>
      </c>
      <c r="KC16" s="12" t="s">
        <v>619</v>
      </c>
      <c r="KD16" s="12" t="s">
        <v>619</v>
      </c>
      <c r="KE16" s="12" t="s">
        <v>34</v>
      </c>
      <c r="KF16" s="12"/>
      <c r="KG16" s="12" t="s">
        <v>619</v>
      </c>
      <c r="KH16" s="12" t="s">
        <v>34</v>
      </c>
      <c r="KI16" s="12" t="s">
        <v>619</v>
      </c>
      <c r="KJ16" s="12" t="s">
        <v>34</v>
      </c>
      <c r="KK16" s="12" t="s">
        <v>619</v>
      </c>
      <c r="KL16" s="12" t="s">
        <v>619</v>
      </c>
      <c r="KM16" s="12" t="s">
        <v>619</v>
      </c>
      <c r="KN16" s="12" t="s">
        <v>619</v>
      </c>
      <c r="KO16" s="12" t="s">
        <v>619</v>
      </c>
      <c r="KP16" s="12" t="s">
        <v>34</v>
      </c>
      <c r="KQ16" s="12" t="s">
        <v>619</v>
      </c>
      <c r="KR16" s="12" t="s">
        <v>34</v>
      </c>
      <c r="KS16" s="12" t="s">
        <v>34</v>
      </c>
      <c r="KT16" s="12" t="s">
        <v>34</v>
      </c>
      <c r="KU16" s="12" t="s">
        <v>34</v>
      </c>
      <c r="KV16" s="12" t="s">
        <v>619</v>
      </c>
      <c r="KW16" s="12" t="s">
        <v>619</v>
      </c>
      <c r="KX16" s="12" t="s">
        <v>34</v>
      </c>
      <c r="KY16" s="12" t="s">
        <v>619</v>
      </c>
      <c r="KZ16" s="12" t="s">
        <v>619</v>
      </c>
      <c r="LA16" s="12" t="s">
        <v>34</v>
      </c>
      <c r="LB16" s="12" t="s">
        <v>619</v>
      </c>
      <c r="LC16" s="12" t="s">
        <v>619</v>
      </c>
      <c r="LD16" s="12" t="s">
        <v>619</v>
      </c>
      <c r="LE16" s="12" t="s">
        <v>34</v>
      </c>
      <c r="LF16" s="12" t="s">
        <v>34</v>
      </c>
      <c r="LG16" s="12" t="s">
        <v>34</v>
      </c>
      <c r="LH16" s="12" t="s">
        <v>34</v>
      </c>
      <c r="LI16" s="12" t="s">
        <v>619</v>
      </c>
      <c r="LJ16" s="12" t="s">
        <v>619</v>
      </c>
      <c r="LK16" s="12" t="s">
        <v>619</v>
      </c>
      <c r="LL16" s="13" t="s">
        <v>34</v>
      </c>
      <c r="LM16" s="13" t="s">
        <v>34</v>
      </c>
      <c r="LN16" s="13" t="s">
        <v>34</v>
      </c>
      <c r="LO16" s="13" t="s">
        <v>34</v>
      </c>
      <c r="LP16" s="90" t="s">
        <v>34</v>
      </c>
      <c r="LQ16" s="13" t="s">
        <v>34</v>
      </c>
      <c r="LR16" s="13" t="s">
        <v>34</v>
      </c>
      <c r="LS16" s="13"/>
      <c r="LT16" s="13" t="s">
        <v>34</v>
      </c>
      <c r="LU16" s="13" t="s">
        <v>34</v>
      </c>
      <c r="LV16" s="13" t="s">
        <v>34</v>
      </c>
      <c r="LW16" s="13" t="s">
        <v>34</v>
      </c>
      <c r="LX16" s="13" t="s">
        <v>34</v>
      </c>
      <c r="LY16" s="13" t="s">
        <v>34</v>
      </c>
      <c r="LZ16" s="13" t="s">
        <v>34</v>
      </c>
      <c r="MA16" s="13" t="s">
        <v>34</v>
      </c>
      <c r="MB16" s="13" t="s">
        <v>34</v>
      </c>
      <c r="MC16" s="13" t="s">
        <v>34</v>
      </c>
      <c r="MD16" s="13" t="s">
        <v>34</v>
      </c>
      <c r="ME16" s="13" t="s">
        <v>34</v>
      </c>
      <c r="MF16" s="13" t="s">
        <v>34</v>
      </c>
      <c r="MG16" s="13" t="s">
        <v>34</v>
      </c>
      <c r="MH16" s="13" t="s">
        <v>34</v>
      </c>
      <c r="MI16" s="13" t="s">
        <v>34</v>
      </c>
      <c r="MJ16" s="13" t="s">
        <v>34</v>
      </c>
      <c r="MK16" s="13" t="s">
        <v>34</v>
      </c>
      <c r="ML16" s="13" t="s">
        <v>34</v>
      </c>
      <c r="MM16" s="13" t="s">
        <v>34</v>
      </c>
      <c r="MN16" s="13" t="s">
        <v>34</v>
      </c>
      <c r="MO16" s="13" t="s">
        <v>34</v>
      </c>
      <c r="MP16" s="13" t="s">
        <v>34</v>
      </c>
      <c r="MQ16" s="13" t="s">
        <v>34</v>
      </c>
      <c r="MR16" s="13" t="s">
        <v>34</v>
      </c>
      <c r="MS16" s="13" t="s">
        <v>34</v>
      </c>
      <c r="MT16" s="13" t="s">
        <v>34</v>
      </c>
      <c r="MU16" s="13" t="s">
        <v>34</v>
      </c>
      <c r="MV16" s="13" t="s">
        <v>34</v>
      </c>
      <c r="MW16" s="13" t="s">
        <v>34</v>
      </c>
      <c r="MX16" s="13" t="s">
        <v>34</v>
      </c>
      <c r="MY16" s="28" t="s">
        <v>296</v>
      </c>
      <c r="MZ16" s="28" t="s">
        <v>296</v>
      </c>
      <c r="NA16" s="28" t="s">
        <v>296</v>
      </c>
      <c r="NB16" s="28" t="s">
        <v>297</v>
      </c>
      <c r="NC16" s="28" t="s">
        <v>296</v>
      </c>
      <c r="ND16" s="28" t="s">
        <v>297</v>
      </c>
      <c r="NE16" s="28" t="s">
        <v>297</v>
      </c>
      <c r="NF16" s="28" t="s">
        <v>297</v>
      </c>
      <c r="NG16" s="28" t="s">
        <v>297</v>
      </c>
      <c r="NH16" s="28" t="s">
        <v>297</v>
      </c>
      <c r="NI16" s="177" t="s">
        <v>296</v>
      </c>
      <c r="NJ16" s="177" t="s">
        <v>297</v>
      </c>
      <c r="NK16" s="177" t="s">
        <v>297</v>
      </c>
      <c r="NL16" s="177" t="s">
        <v>297</v>
      </c>
      <c r="NM16" s="177" t="s">
        <v>296</v>
      </c>
      <c r="NN16" s="177" t="s">
        <v>296</v>
      </c>
      <c r="NO16" s="177" t="s">
        <v>296</v>
      </c>
      <c r="NP16" s="177" t="s">
        <v>296</v>
      </c>
      <c r="NQ16" s="177" t="s">
        <v>296</v>
      </c>
      <c r="NR16" s="12" t="s">
        <v>34</v>
      </c>
      <c r="NS16" s="13" t="s">
        <v>34</v>
      </c>
    </row>
    <row r="17" spans="1:383" x14ac:dyDescent="0.25">
      <c r="A17" s="8" t="s">
        <v>68</v>
      </c>
      <c r="B17" s="9" t="s">
        <v>69</v>
      </c>
      <c r="C17" s="9">
        <v>75</v>
      </c>
      <c r="D17" s="9" t="s">
        <v>70</v>
      </c>
      <c r="E17" s="10">
        <v>74</v>
      </c>
      <c r="F17" s="10">
        <v>74</v>
      </c>
      <c r="G17" s="10">
        <v>71</v>
      </c>
      <c r="H17" s="10">
        <v>67</v>
      </c>
      <c r="I17" s="10">
        <v>45</v>
      </c>
      <c r="J17" s="11">
        <v>349</v>
      </c>
      <c r="K17" s="11">
        <v>360</v>
      </c>
      <c r="L17" s="11">
        <v>374</v>
      </c>
      <c r="M17" s="11">
        <v>313</v>
      </c>
      <c r="N17" s="11">
        <v>215</v>
      </c>
      <c r="O17" s="13">
        <v>6644</v>
      </c>
      <c r="P17" s="13">
        <v>6966</v>
      </c>
      <c r="Q17" s="13">
        <v>6655</v>
      </c>
      <c r="R17" s="13">
        <v>6128</v>
      </c>
      <c r="S17" s="13">
        <v>3890</v>
      </c>
      <c r="T17" s="12">
        <v>1692</v>
      </c>
      <c r="U17" s="12">
        <v>1360</v>
      </c>
      <c r="V17" s="12">
        <v>1481</v>
      </c>
      <c r="W17" s="12">
        <v>1277</v>
      </c>
      <c r="X17" s="12">
        <v>787</v>
      </c>
      <c r="Y17" s="12">
        <v>5.3</v>
      </c>
      <c r="Z17" s="12">
        <v>5.3</v>
      </c>
      <c r="AA17" s="12">
        <v>5.3</v>
      </c>
      <c r="AB17" s="13">
        <v>3.8</v>
      </c>
      <c r="AC17" s="13">
        <v>3.8</v>
      </c>
      <c r="AD17" s="13">
        <v>3.8</v>
      </c>
      <c r="AE17" s="35" t="s">
        <v>259</v>
      </c>
      <c r="AF17" s="35" t="s">
        <v>259</v>
      </c>
      <c r="AG17" s="35" t="s">
        <v>259</v>
      </c>
      <c r="AH17" s="38">
        <v>1</v>
      </c>
      <c r="AI17" s="38">
        <v>1</v>
      </c>
      <c r="AJ17" s="38">
        <v>1</v>
      </c>
      <c r="AK17" s="45" t="s">
        <v>34</v>
      </c>
      <c r="AL17" s="45" t="s">
        <v>34</v>
      </c>
      <c r="AM17" s="45" t="s">
        <v>34</v>
      </c>
      <c r="AN17" s="45" t="s">
        <v>34</v>
      </c>
      <c r="AO17" s="45" t="s">
        <v>34</v>
      </c>
      <c r="AP17" s="45" t="s">
        <v>34</v>
      </c>
      <c r="AQ17" s="53" t="s">
        <v>297</v>
      </c>
      <c r="AR17" s="56">
        <v>153</v>
      </c>
      <c r="AS17" s="57">
        <v>0</v>
      </c>
      <c r="AT17" s="56">
        <v>0</v>
      </c>
      <c r="AU17" s="57">
        <v>25258</v>
      </c>
      <c r="AV17" s="57">
        <v>0</v>
      </c>
      <c r="AW17" s="57">
        <v>0</v>
      </c>
      <c r="AX17" s="57">
        <v>8</v>
      </c>
      <c r="AY17" s="57">
        <v>0</v>
      </c>
      <c r="AZ17" s="57">
        <v>0</v>
      </c>
      <c r="BA17" s="57">
        <v>0</v>
      </c>
      <c r="BB17" s="57">
        <v>0</v>
      </c>
      <c r="BC17" s="57">
        <v>0</v>
      </c>
      <c r="BD17" s="57">
        <v>0</v>
      </c>
      <c r="BE17" s="57">
        <v>0</v>
      </c>
      <c r="BF17" s="57">
        <v>0</v>
      </c>
      <c r="BG17" s="57">
        <v>0</v>
      </c>
      <c r="BH17" s="57">
        <v>0</v>
      </c>
      <c r="BI17" s="57">
        <v>0</v>
      </c>
      <c r="BJ17" s="57" t="s">
        <v>296</v>
      </c>
      <c r="BK17" s="57">
        <v>16</v>
      </c>
      <c r="BL17" s="57">
        <v>0</v>
      </c>
      <c r="BM17" s="57">
        <v>0</v>
      </c>
      <c r="BN17" s="57">
        <v>1000</v>
      </c>
      <c r="BO17" s="57">
        <v>2000</v>
      </c>
      <c r="BP17" s="57">
        <v>2000</v>
      </c>
      <c r="BQ17" s="76">
        <v>349</v>
      </c>
      <c r="BR17" s="76">
        <v>337</v>
      </c>
      <c r="BS17">
        <v>321</v>
      </c>
      <c r="BT17">
        <v>321</v>
      </c>
      <c r="BU17">
        <v>321</v>
      </c>
      <c r="BV17">
        <v>27873</v>
      </c>
      <c r="BW17">
        <v>27439</v>
      </c>
      <c r="BX17">
        <v>27091</v>
      </c>
      <c r="BY17">
        <v>26530</v>
      </c>
      <c r="BZ17">
        <v>26100</v>
      </c>
      <c r="CA17">
        <v>110</v>
      </c>
      <c r="CB17">
        <v>112</v>
      </c>
      <c r="CC17">
        <v>100</v>
      </c>
      <c r="CD17">
        <v>100</v>
      </c>
      <c r="CE17">
        <v>50</v>
      </c>
      <c r="CF17">
        <v>8336</v>
      </c>
      <c r="CG17">
        <v>8326</v>
      </c>
      <c r="CH17">
        <v>8136</v>
      </c>
      <c r="CI17">
        <v>7405</v>
      </c>
      <c r="CJ17">
        <v>4677</v>
      </c>
      <c r="CK17" s="10">
        <v>53</v>
      </c>
      <c r="CL17" s="10">
        <v>53</v>
      </c>
      <c r="CM17" s="10">
        <v>53</v>
      </c>
      <c r="CN17" s="11">
        <v>17.8</v>
      </c>
      <c r="CO17" s="11">
        <v>17.8</v>
      </c>
      <c r="CP17" s="11">
        <v>17.8</v>
      </c>
      <c r="CQ17" s="13">
        <v>27</v>
      </c>
      <c r="CR17" s="13">
        <v>14</v>
      </c>
      <c r="CS17" s="13">
        <v>0</v>
      </c>
      <c r="CT17" s="10">
        <v>0</v>
      </c>
      <c r="CU17" s="10">
        <v>0</v>
      </c>
      <c r="CV17" s="10">
        <v>21</v>
      </c>
      <c r="CW17" s="10">
        <v>20</v>
      </c>
      <c r="CX17" s="10">
        <v>0</v>
      </c>
      <c r="CY17" s="10">
        <v>0</v>
      </c>
      <c r="CZ17" s="10">
        <v>0</v>
      </c>
      <c r="DA17" s="10">
        <v>0</v>
      </c>
      <c r="DB17" s="10">
        <v>0</v>
      </c>
      <c r="DC17" s="10">
        <v>0</v>
      </c>
      <c r="DD17" s="10">
        <v>1</v>
      </c>
      <c r="DE17" s="10">
        <v>0</v>
      </c>
      <c r="DF17" s="10">
        <v>2</v>
      </c>
      <c r="DG17" s="10">
        <v>0</v>
      </c>
      <c r="DH17" s="10">
        <v>0</v>
      </c>
      <c r="DI17" s="81">
        <v>2</v>
      </c>
      <c r="DJ17" s="81">
        <v>2</v>
      </c>
      <c r="DK17" s="81">
        <v>0</v>
      </c>
      <c r="DL17" s="81">
        <v>0</v>
      </c>
      <c r="DM17" s="81">
        <v>2</v>
      </c>
      <c r="DN17" s="12">
        <v>6</v>
      </c>
      <c r="DO17" s="12">
        <v>0</v>
      </c>
      <c r="DP17" s="12">
        <v>7</v>
      </c>
      <c r="DQ17" s="12">
        <v>0</v>
      </c>
      <c r="DR17" s="12">
        <v>0</v>
      </c>
      <c r="DS17" s="12">
        <v>0</v>
      </c>
      <c r="DT17" s="12">
        <v>0</v>
      </c>
      <c r="DU17" s="12">
        <v>0</v>
      </c>
      <c r="DV17" s="12">
        <v>14</v>
      </c>
      <c r="DW17" s="12">
        <v>6</v>
      </c>
      <c r="DX17" s="12">
        <v>5</v>
      </c>
      <c r="DY17" s="12">
        <v>9</v>
      </c>
      <c r="DZ17" s="12">
        <v>2</v>
      </c>
      <c r="EA17" s="12">
        <v>0</v>
      </c>
      <c r="EB17" s="12">
        <v>33</v>
      </c>
      <c r="EC17" s="12">
        <v>0</v>
      </c>
      <c r="ED17" s="12">
        <v>8</v>
      </c>
      <c r="EE17" s="12">
        <v>8</v>
      </c>
      <c r="EF17" s="12">
        <v>6</v>
      </c>
      <c r="EG17" s="12">
        <v>0</v>
      </c>
      <c r="EH17" s="12">
        <v>0</v>
      </c>
      <c r="EI17" s="12">
        <v>1</v>
      </c>
      <c r="EJ17" s="12">
        <v>0</v>
      </c>
      <c r="EK17" s="12">
        <v>0</v>
      </c>
      <c r="EL17" s="12">
        <v>5</v>
      </c>
      <c r="EM17" s="12">
        <v>6</v>
      </c>
      <c r="EN17" s="12">
        <v>6</v>
      </c>
      <c r="EO17" s="12">
        <v>0</v>
      </c>
      <c r="EP17" s="12">
        <v>0</v>
      </c>
      <c r="EQ17" s="12">
        <v>5</v>
      </c>
      <c r="ER17" s="12">
        <v>3</v>
      </c>
      <c r="ES17" s="13">
        <v>0</v>
      </c>
      <c r="ET17" s="13">
        <v>0</v>
      </c>
      <c r="EU17" s="13">
        <v>0</v>
      </c>
      <c r="EV17" s="10">
        <v>0</v>
      </c>
      <c r="EW17" s="10">
        <v>0</v>
      </c>
      <c r="EX17" s="10">
        <v>0</v>
      </c>
      <c r="EY17" s="10">
        <v>0</v>
      </c>
      <c r="EZ17" s="10">
        <v>0</v>
      </c>
      <c r="FA17" s="10">
        <v>0</v>
      </c>
      <c r="FB17" s="10">
        <v>0</v>
      </c>
      <c r="FC17" s="10">
        <v>0</v>
      </c>
      <c r="FD17" s="10">
        <v>0</v>
      </c>
      <c r="FE17" s="10">
        <v>0</v>
      </c>
      <c r="FF17" s="10">
        <v>0</v>
      </c>
      <c r="FG17" s="10">
        <v>0</v>
      </c>
      <c r="FH17" s="10">
        <v>0</v>
      </c>
      <c r="FI17" s="10">
        <v>0</v>
      </c>
      <c r="FJ17" s="10">
        <v>0</v>
      </c>
      <c r="FK17" s="81">
        <v>0</v>
      </c>
      <c r="FL17" s="81">
        <v>0</v>
      </c>
      <c r="FM17" s="81">
        <v>0</v>
      </c>
      <c r="FN17" s="81">
        <v>0</v>
      </c>
      <c r="FO17" s="81">
        <v>0</v>
      </c>
      <c r="FP17" s="12">
        <v>0</v>
      </c>
      <c r="FQ17" s="12">
        <v>0</v>
      </c>
      <c r="FR17" s="12">
        <v>0</v>
      </c>
      <c r="FS17" s="12">
        <v>0</v>
      </c>
      <c r="FT17" s="12">
        <v>0</v>
      </c>
      <c r="FU17" s="12">
        <v>0</v>
      </c>
      <c r="FV17" s="12">
        <v>0</v>
      </c>
      <c r="FW17" s="12">
        <v>0</v>
      </c>
      <c r="FX17" s="12">
        <v>0</v>
      </c>
      <c r="FY17" s="12">
        <v>0</v>
      </c>
      <c r="FZ17" s="12">
        <v>0</v>
      </c>
      <c r="GA17" s="12">
        <v>0</v>
      </c>
      <c r="GB17" s="12">
        <v>0</v>
      </c>
      <c r="GC17" s="12">
        <v>0</v>
      </c>
      <c r="GD17" s="12">
        <v>0</v>
      </c>
      <c r="GE17" s="12">
        <v>0</v>
      </c>
      <c r="GF17" s="12">
        <v>0</v>
      </c>
      <c r="GG17" s="12">
        <v>0</v>
      </c>
      <c r="GH17" s="12">
        <v>0</v>
      </c>
      <c r="GI17" s="12">
        <v>0</v>
      </c>
      <c r="GJ17" s="12">
        <v>0</v>
      </c>
      <c r="GK17" s="12">
        <v>0</v>
      </c>
      <c r="GL17" s="12">
        <v>0</v>
      </c>
      <c r="GM17" s="12">
        <v>0</v>
      </c>
      <c r="GN17" s="12">
        <v>0</v>
      </c>
      <c r="GO17" s="12">
        <v>0</v>
      </c>
      <c r="GP17" s="12">
        <v>0</v>
      </c>
      <c r="GQ17" s="12">
        <v>0</v>
      </c>
      <c r="GR17" s="12">
        <v>0</v>
      </c>
      <c r="GS17" s="12">
        <v>0</v>
      </c>
      <c r="GT17" s="12">
        <v>0</v>
      </c>
      <c r="GU17" s="13">
        <v>0</v>
      </c>
      <c r="GV17" s="13">
        <v>0</v>
      </c>
      <c r="GW17" s="13">
        <v>0</v>
      </c>
      <c r="GX17" s="13">
        <v>0</v>
      </c>
      <c r="GY17" s="10">
        <v>0</v>
      </c>
      <c r="GZ17" s="10">
        <v>0</v>
      </c>
      <c r="HA17" s="10">
        <v>0</v>
      </c>
      <c r="HB17" s="10">
        <v>0</v>
      </c>
      <c r="HC17" s="10">
        <v>0</v>
      </c>
      <c r="HD17" s="10">
        <v>0</v>
      </c>
      <c r="HE17" s="10">
        <v>0</v>
      </c>
      <c r="HF17" s="10">
        <v>0</v>
      </c>
      <c r="HG17" s="10">
        <v>0</v>
      </c>
      <c r="HH17" s="10">
        <v>0</v>
      </c>
      <c r="HI17" s="10">
        <v>0</v>
      </c>
      <c r="HJ17" s="10">
        <v>0</v>
      </c>
      <c r="HK17" s="10">
        <v>0</v>
      </c>
      <c r="HL17" s="10">
        <v>0</v>
      </c>
      <c r="HM17" s="10">
        <v>0</v>
      </c>
      <c r="HN17" s="81">
        <v>0</v>
      </c>
      <c r="HO17" s="81">
        <v>0</v>
      </c>
      <c r="HP17" s="81">
        <v>0</v>
      </c>
      <c r="HQ17" s="81">
        <v>0</v>
      </c>
      <c r="HR17" s="81">
        <v>0</v>
      </c>
      <c r="HS17" s="12">
        <v>0</v>
      </c>
      <c r="HT17" s="12">
        <v>0</v>
      </c>
      <c r="HU17" s="12">
        <v>0</v>
      </c>
      <c r="HV17" s="12">
        <v>0</v>
      </c>
      <c r="HW17" s="12">
        <v>0</v>
      </c>
      <c r="HX17" s="12">
        <v>0</v>
      </c>
      <c r="HY17" s="12">
        <v>0</v>
      </c>
      <c r="HZ17" s="12">
        <v>0</v>
      </c>
      <c r="IA17" s="12">
        <v>0</v>
      </c>
      <c r="IB17" s="12">
        <v>0</v>
      </c>
      <c r="IC17" s="12">
        <v>0</v>
      </c>
      <c r="ID17" s="12">
        <v>0</v>
      </c>
      <c r="IE17" s="12">
        <v>0</v>
      </c>
      <c r="IF17" s="12">
        <v>0</v>
      </c>
      <c r="IG17" s="12">
        <v>0</v>
      </c>
      <c r="IH17" s="12">
        <v>0</v>
      </c>
      <c r="II17" s="12">
        <v>0</v>
      </c>
      <c r="IJ17" s="12">
        <v>0</v>
      </c>
      <c r="IK17" s="12">
        <v>0</v>
      </c>
      <c r="IL17" s="12">
        <v>0</v>
      </c>
      <c r="IM17" s="12">
        <v>0</v>
      </c>
      <c r="IN17" s="12">
        <v>0</v>
      </c>
      <c r="IO17" s="12">
        <v>0</v>
      </c>
      <c r="IP17" s="12">
        <v>0</v>
      </c>
      <c r="IQ17" s="12">
        <v>0</v>
      </c>
      <c r="IR17" s="12">
        <v>0</v>
      </c>
      <c r="IS17" s="12">
        <v>0</v>
      </c>
      <c r="IT17" s="12">
        <v>0</v>
      </c>
      <c r="IU17" s="12">
        <v>0</v>
      </c>
      <c r="IV17" s="12">
        <v>0</v>
      </c>
      <c r="IW17" s="12">
        <v>0</v>
      </c>
      <c r="IX17" s="11">
        <v>12880</v>
      </c>
      <c r="IY17" s="11">
        <v>12900</v>
      </c>
      <c r="IZ17" s="11">
        <v>14500</v>
      </c>
      <c r="JA17" s="85" t="s">
        <v>604</v>
      </c>
      <c r="JB17" s="85">
        <v>0</v>
      </c>
      <c r="JC17" s="85">
        <v>0</v>
      </c>
      <c r="JD17" s="12">
        <v>5</v>
      </c>
      <c r="JE17" s="12">
        <v>5</v>
      </c>
      <c r="JF17" s="12">
        <v>5</v>
      </c>
      <c r="JG17" s="12">
        <v>5</v>
      </c>
      <c r="JH17" s="12">
        <v>5</v>
      </c>
      <c r="JI17" s="12">
        <v>5</v>
      </c>
      <c r="JJ17" s="13" t="s">
        <v>619</v>
      </c>
      <c r="JK17" s="13" t="s">
        <v>619</v>
      </c>
      <c r="JL17" s="13" t="s">
        <v>296</v>
      </c>
      <c r="JM17" s="89"/>
      <c r="JN17" s="89"/>
      <c r="JO17" s="89" t="s">
        <v>296</v>
      </c>
      <c r="JP17" s="89"/>
      <c r="JQ17" s="89"/>
      <c r="JR17" s="89" t="s">
        <v>296</v>
      </c>
      <c r="JS17" s="89" t="s">
        <v>619</v>
      </c>
      <c r="JT17" s="89" t="s">
        <v>619</v>
      </c>
      <c r="JU17" s="89" t="s">
        <v>296</v>
      </c>
      <c r="JV17" s="89"/>
      <c r="JW17" s="89"/>
      <c r="JX17" s="89" t="s">
        <v>297</v>
      </c>
      <c r="JY17" s="12" t="s">
        <v>619</v>
      </c>
      <c r="JZ17" s="12" t="s">
        <v>34</v>
      </c>
      <c r="KA17" s="12" t="s">
        <v>34</v>
      </c>
      <c r="KB17" s="12" t="s">
        <v>34</v>
      </c>
      <c r="KC17" s="12" t="s">
        <v>34</v>
      </c>
      <c r="KD17" s="12" t="s">
        <v>34</v>
      </c>
      <c r="KE17" s="12" t="s">
        <v>34</v>
      </c>
      <c r="KF17" s="12"/>
      <c r="KG17" s="12" t="s">
        <v>34</v>
      </c>
      <c r="KH17" s="12" t="s">
        <v>34</v>
      </c>
      <c r="KI17" s="12" t="s">
        <v>34</v>
      </c>
      <c r="KJ17" s="12" t="s">
        <v>34</v>
      </c>
      <c r="KK17" s="12" t="s">
        <v>34</v>
      </c>
      <c r="KL17" s="12" t="s">
        <v>34</v>
      </c>
      <c r="KM17" s="12" t="s">
        <v>34</v>
      </c>
      <c r="KN17" s="12" t="s">
        <v>619</v>
      </c>
      <c r="KO17" s="12" t="s">
        <v>34</v>
      </c>
      <c r="KP17" s="12" t="s">
        <v>34</v>
      </c>
      <c r="KQ17" s="12" t="s">
        <v>619</v>
      </c>
      <c r="KR17" s="12" t="s">
        <v>34</v>
      </c>
      <c r="KS17" s="12" t="s">
        <v>34</v>
      </c>
      <c r="KT17" s="12" t="s">
        <v>34</v>
      </c>
      <c r="KU17" s="12" t="s">
        <v>34</v>
      </c>
      <c r="KV17" s="12" t="s">
        <v>34</v>
      </c>
      <c r="KW17" s="12" t="s">
        <v>34</v>
      </c>
      <c r="KX17" s="12" t="s">
        <v>34</v>
      </c>
      <c r="KY17" s="12" t="s">
        <v>34</v>
      </c>
      <c r="KZ17" s="12" t="s">
        <v>34</v>
      </c>
      <c r="LA17" s="12" t="s">
        <v>34</v>
      </c>
      <c r="LB17" s="12" t="s">
        <v>619</v>
      </c>
      <c r="LC17" s="12" t="s">
        <v>619</v>
      </c>
      <c r="LD17" s="12" t="s">
        <v>619</v>
      </c>
      <c r="LE17" s="12" t="s">
        <v>34</v>
      </c>
      <c r="LF17" s="12" t="s">
        <v>34</v>
      </c>
      <c r="LG17" s="12" t="s">
        <v>34</v>
      </c>
      <c r="LH17" s="12" t="s">
        <v>34</v>
      </c>
      <c r="LI17" s="12" t="s">
        <v>619</v>
      </c>
      <c r="LJ17" s="12" t="s">
        <v>619</v>
      </c>
      <c r="LK17" s="12" t="s">
        <v>34</v>
      </c>
      <c r="LL17" s="13" t="s">
        <v>619</v>
      </c>
      <c r="LM17" s="13" t="s">
        <v>34</v>
      </c>
      <c r="LN17" s="13" t="s">
        <v>34</v>
      </c>
      <c r="LO17" s="13" t="s">
        <v>34</v>
      </c>
      <c r="LP17" s="90" t="s">
        <v>619</v>
      </c>
      <c r="LQ17" s="13" t="s">
        <v>34</v>
      </c>
      <c r="LR17" s="13" t="s">
        <v>34</v>
      </c>
      <c r="LS17" s="13"/>
      <c r="LT17" s="13" t="s">
        <v>34</v>
      </c>
      <c r="LU17" s="13" t="s">
        <v>34</v>
      </c>
      <c r="LV17" s="13" t="s">
        <v>619</v>
      </c>
      <c r="LW17" s="13" t="s">
        <v>619</v>
      </c>
      <c r="LX17" s="13" t="s">
        <v>34</v>
      </c>
      <c r="LY17" s="13" t="s">
        <v>34</v>
      </c>
      <c r="LZ17" s="13" t="s">
        <v>619</v>
      </c>
      <c r="MA17" s="13" t="s">
        <v>619</v>
      </c>
      <c r="MB17" s="13" t="s">
        <v>619</v>
      </c>
      <c r="MC17" s="13" t="s">
        <v>34</v>
      </c>
      <c r="MD17" s="13" t="s">
        <v>619</v>
      </c>
      <c r="ME17" s="13" t="s">
        <v>619</v>
      </c>
      <c r="MF17" s="13" t="s">
        <v>34</v>
      </c>
      <c r="MG17" s="13" t="s">
        <v>34</v>
      </c>
      <c r="MH17" s="13" t="s">
        <v>34</v>
      </c>
      <c r="MI17" s="13" t="s">
        <v>34</v>
      </c>
      <c r="MJ17" s="13" t="s">
        <v>34</v>
      </c>
      <c r="MK17" s="13" t="s">
        <v>34</v>
      </c>
      <c r="ML17" s="13" t="s">
        <v>34</v>
      </c>
      <c r="MM17" s="13" t="s">
        <v>34</v>
      </c>
      <c r="MN17" s="13" t="s">
        <v>34</v>
      </c>
      <c r="MO17" s="13" t="s">
        <v>619</v>
      </c>
      <c r="MP17" s="13" t="s">
        <v>619</v>
      </c>
      <c r="MQ17" s="13" t="s">
        <v>619</v>
      </c>
      <c r="MR17" s="13" t="s">
        <v>34</v>
      </c>
      <c r="MS17" s="13" t="s">
        <v>34</v>
      </c>
      <c r="MT17" s="13" t="s">
        <v>34</v>
      </c>
      <c r="MU17" s="13" t="s">
        <v>34</v>
      </c>
      <c r="MV17" s="13" t="s">
        <v>619</v>
      </c>
      <c r="MW17" s="13" t="s">
        <v>34</v>
      </c>
      <c r="MX17" s="13" t="s">
        <v>619</v>
      </c>
      <c r="MY17" s="28" t="s">
        <v>296</v>
      </c>
      <c r="MZ17" s="28" t="s">
        <v>296</v>
      </c>
      <c r="NA17" s="28" t="s">
        <v>296</v>
      </c>
      <c r="NB17" s="28" t="s">
        <v>296</v>
      </c>
      <c r="NC17" s="28" t="s">
        <v>296</v>
      </c>
      <c r="ND17" s="28" t="s">
        <v>297</v>
      </c>
      <c r="NE17" s="28" t="s">
        <v>296</v>
      </c>
      <c r="NF17" s="28" t="s">
        <v>297</v>
      </c>
      <c r="NG17" s="28" t="s">
        <v>297</v>
      </c>
      <c r="NH17" s="28" t="s">
        <v>297</v>
      </c>
      <c r="NI17" s="177" t="s">
        <v>296</v>
      </c>
      <c r="NJ17" s="177" t="s">
        <v>297</v>
      </c>
      <c r="NK17" s="177" t="s">
        <v>297</v>
      </c>
      <c r="NL17" s="177" t="s">
        <v>297</v>
      </c>
      <c r="NM17" s="177" t="s">
        <v>296</v>
      </c>
      <c r="NN17" s="177" t="s">
        <v>296</v>
      </c>
      <c r="NO17" s="177" t="s">
        <v>296</v>
      </c>
      <c r="NP17" s="177" t="s">
        <v>297</v>
      </c>
      <c r="NQ17" s="177" t="s">
        <v>296</v>
      </c>
      <c r="NR17" s="12" t="s">
        <v>34</v>
      </c>
      <c r="NS17" s="13" t="s">
        <v>34</v>
      </c>
    </row>
    <row r="18" spans="1:383" x14ac:dyDescent="0.25">
      <c r="A18" s="8" t="s">
        <v>71</v>
      </c>
      <c r="B18" s="9" t="s">
        <v>72</v>
      </c>
      <c r="C18" s="9">
        <v>75</v>
      </c>
      <c r="D18" s="9" t="s">
        <v>70</v>
      </c>
      <c r="E18" s="10">
        <v>45</v>
      </c>
      <c r="F18" s="10">
        <v>47</v>
      </c>
      <c r="G18" s="10">
        <v>53</v>
      </c>
      <c r="H18" s="10">
        <v>53</v>
      </c>
      <c r="I18" s="10">
        <v>39</v>
      </c>
      <c r="J18" s="11">
        <v>347</v>
      </c>
      <c r="K18" s="11">
        <v>353</v>
      </c>
      <c r="L18" s="11">
        <v>393</v>
      </c>
      <c r="M18" s="11">
        <v>368</v>
      </c>
      <c r="N18" s="11">
        <v>151</v>
      </c>
      <c r="O18" s="13">
        <v>5141</v>
      </c>
      <c r="P18" s="13">
        <v>4754</v>
      </c>
      <c r="Q18" s="13">
        <v>5470</v>
      </c>
      <c r="R18" s="13">
        <v>5453</v>
      </c>
      <c r="S18" s="13">
        <v>2443</v>
      </c>
      <c r="T18" s="12">
        <v>1108</v>
      </c>
      <c r="U18" s="12">
        <v>1246</v>
      </c>
      <c r="V18" s="12">
        <v>1253</v>
      </c>
      <c r="W18" s="12">
        <v>1218</v>
      </c>
      <c r="X18" s="12">
        <v>356</v>
      </c>
      <c r="Y18" s="12">
        <v>9.2200000000000006</v>
      </c>
      <c r="Z18" s="12">
        <v>9.2100000000000009</v>
      </c>
      <c r="AA18" s="12">
        <v>9.2100000000000009</v>
      </c>
      <c r="AB18" s="13">
        <v>8.7200000000000006</v>
      </c>
      <c r="AC18" s="13">
        <v>8.7100000000000009</v>
      </c>
      <c r="AD18" s="13">
        <v>8.7100000000000009</v>
      </c>
      <c r="AE18" s="35" t="s">
        <v>259</v>
      </c>
      <c r="AF18" s="35" t="s">
        <v>259</v>
      </c>
      <c r="AG18" s="35" t="s">
        <v>259</v>
      </c>
      <c r="AH18" s="38">
        <v>0.5</v>
      </c>
      <c r="AI18" s="38">
        <v>0.5</v>
      </c>
      <c r="AJ18" s="38">
        <v>0.5</v>
      </c>
      <c r="AK18" s="45" t="s">
        <v>34</v>
      </c>
      <c r="AL18" s="45" t="s">
        <v>289</v>
      </c>
      <c r="AM18" s="45" t="s">
        <v>34</v>
      </c>
      <c r="AN18" s="45" t="s">
        <v>293</v>
      </c>
      <c r="AO18" s="45" t="s">
        <v>34</v>
      </c>
      <c r="AP18" s="45" t="s">
        <v>34</v>
      </c>
      <c r="AQ18" s="53" t="s">
        <v>296</v>
      </c>
      <c r="AR18" s="56">
        <v>112</v>
      </c>
      <c r="AS18" s="57">
        <v>44</v>
      </c>
      <c r="AT18" s="56">
        <v>6</v>
      </c>
      <c r="AU18" s="57">
        <v>11774</v>
      </c>
      <c r="AV18" s="57">
        <v>5456</v>
      </c>
      <c r="AW18" s="57">
        <v>2591</v>
      </c>
      <c r="AX18" s="57">
        <v>0</v>
      </c>
      <c r="AY18" s="57">
        <v>3</v>
      </c>
      <c r="AZ18" s="57">
        <v>4</v>
      </c>
      <c r="BA18" s="57">
        <v>891</v>
      </c>
      <c r="BB18" s="57">
        <v>3407</v>
      </c>
      <c r="BC18" s="57">
        <v>1775</v>
      </c>
      <c r="BD18" s="57">
        <v>179</v>
      </c>
      <c r="BE18" s="57">
        <v>158</v>
      </c>
      <c r="BF18" s="57">
        <v>0</v>
      </c>
      <c r="BG18" s="57">
        <v>371</v>
      </c>
      <c r="BH18" s="57">
        <v>904</v>
      </c>
      <c r="BI18" s="57">
        <v>1511</v>
      </c>
      <c r="BJ18" s="57" t="s">
        <v>297</v>
      </c>
      <c r="BK18" s="57">
        <v>24</v>
      </c>
      <c r="BL18" s="57">
        <v>0</v>
      </c>
      <c r="BM18" s="57">
        <v>0</v>
      </c>
      <c r="BN18" s="57">
        <v>350</v>
      </c>
      <c r="BO18" s="57">
        <v>520</v>
      </c>
      <c r="BP18" s="57">
        <v>520</v>
      </c>
      <c r="BQ18" s="76">
        <v>509</v>
      </c>
      <c r="BR18" s="76">
        <v>510</v>
      </c>
      <c r="BS18">
        <v>500</v>
      </c>
      <c r="BT18">
        <v>500</v>
      </c>
      <c r="BU18">
        <v>499</v>
      </c>
      <c r="BV18">
        <v>50240</v>
      </c>
      <c r="BW18">
        <v>50070</v>
      </c>
      <c r="BX18">
        <v>49681</v>
      </c>
      <c r="BY18">
        <v>49470</v>
      </c>
      <c r="BZ18">
        <v>48454</v>
      </c>
      <c r="CA18">
        <v>145</v>
      </c>
      <c r="CB18">
        <v>135</v>
      </c>
      <c r="CC18">
        <v>135</v>
      </c>
      <c r="CD18">
        <v>142</v>
      </c>
      <c r="CE18">
        <v>126</v>
      </c>
      <c r="CF18">
        <v>6249</v>
      </c>
      <c r="CG18">
        <v>6000</v>
      </c>
      <c r="CH18">
        <v>6723</v>
      </c>
      <c r="CI18">
        <v>6671</v>
      </c>
      <c r="CJ18">
        <v>2799</v>
      </c>
      <c r="CK18" s="10">
        <v>32</v>
      </c>
      <c r="CL18" s="10">
        <v>32.1</v>
      </c>
      <c r="CM18" s="10">
        <v>32.1</v>
      </c>
      <c r="CN18" s="11">
        <v>20.93</v>
      </c>
      <c r="CO18" s="11">
        <v>20.92</v>
      </c>
      <c r="CP18" s="11">
        <v>20.92</v>
      </c>
      <c r="CQ18" s="13">
        <v>31</v>
      </c>
      <c r="CR18" s="13">
        <v>9</v>
      </c>
      <c r="CS18" s="13">
        <v>0</v>
      </c>
      <c r="CT18" s="10">
        <v>0</v>
      </c>
      <c r="CU18" s="10">
        <v>0</v>
      </c>
      <c r="CV18" s="10">
        <v>12</v>
      </c>
      <c r="CW18" s="10">
        <v>3</v>
      </c>
      <c r="CX18" s="10">
        <v>1</v>
      </c>
      <c r="CY18" s="10">
        <v>0</v>
      </c>
      <c r="CZ18" s="10">
        <v>0</v>
      </c>
      <c r="DA18" s="10">
        <v>0</v>
      </c>
      <c r="DB18" s="10">
        <v>0</v>
      </c>
      <c r="DC18" s="10">
        <v>0</v>
      </c>
      <c r="DD18" s="10">
        <v>0</v>
      </c>
      <c r="DE18" s="10">
        <v>0</v>
      </c>
      <c r="DF18" s="10">
        <v>1</v>
      </c>
      <c r="DG18" s="10">
        <v>0</v>
      </c>
      <c r="DH18" s="10">
        <v>0</v>
      </c>
      <c r="DI18" s="81">
        <v>2</v>
      </c>
      <c r="DJ18" s="81">
        <v>4</v>
      </c>
      <c r="DK18" s="81">
        <v>0</v>
      </c>
      <c r="DL18" s="81">
        <v>0</v>
      </c>
      <c r="DM18" s="81">
        <v>17</v>
      </c>
      <c r="DN18" s="12">
        <v>3</v>
      </c>
      <c r="DO18" s="12">
        <v>0</v>
      </c>
      <c r="DP18" s="12">
        <v>2</v>
      </c>
      <c r="DQ18" s="12">
        <v>1</v>
      </c>
      <c r="DR18" s="12">
        <v>0</v>
      </c>
      <c r="DS18" s="12">
        <v>1</v>
      </c>
      <c r="DT18" s="12">
        <v>0</v>
      </c>
      <c r="DU18" s="12">
        <v>0</v>
      </c>
      <c r="DV18" s="12">
        <v>8</v>
      </c>
      <c r="DW18" s="12">
        <v>2</v>
      </c>
      <c r="DX18" s="12">
        <v>0</v>
      </c>
      <c r="DY18" s="12">
        <v>3</v>
      </c>
      <c r="DZ18" s="12">
        <v>2</v>
      </c>
      <c r="EA18" s="12">
        <v>0</v>
      </c>
      <c r="EB18" s="12">
        <v>27</v>
      </c>
      <c r="EC18" s="12">
        <v>1</v>
      </c>
      <c r="ED18" s="12">
        <v>14</v>
      </c>
      <c r="EE18" s="12">
        <v>3</v>
      </c>
      <c r="EF18" s="12">
        <v>1</v>
      </c>
      <c r="EG18" s="12">
        <v>0</v>
      </c>
      <c r="EH18" s="12">
        <v>0</v>
      </c>
      <c r="EI18" s="12">
        <v>1</v>
      </c>
      <c r="EJ18" s="12">
        <v>2</v>
      </c>
      <c r="EK18" s="12">
        <v>0</v>
      </c>
      <c r="EL18" s="12">
        <v>6</v>
      </c>
      <c r="EM18" s="12">
        <v>2</v>
      </c>
      <c r="EN18" s="12">
        <v>3</v>
      </c>
      <c r="EO18" s="12">
        <v>0</v>
      </c>
      <c r="EP18" s="12">
        <v>0</v>
      </c>
      <c r="EQ18" s="12">
        <v>8</v>
      </c>
      <c r="ER18" s="12">
        <v>0</v>
      </c>
      <c r="ES18" s="13">
        <v>4</v>
      </c>
      <c r="ET18" s="13">
        <v>2</v>
      </c>
      <c r="EU18" s="13">
        <v>0</v>
      </c>
      <c r="EV18" s="10">
        <v>0</v>
      </c>
      <c r="EW18" s="10">
        <v>0</v>
      </c>
      <c r="EX18" s="10">
        <v>4</v>
      </c>
      <c r="EY18" s="10">
        <v>2</v>
      </c>
      <c r="EZ18" s="10">
        <v>0</v>
      </c>
      <c r="FA18" s="10">
        <v>0</v>
      </c>
      <c r="FB18" s="10">
        <v>0</v>
      </c>
      <c r="FC18" s="10">
        <v>0</v>
      </c>
      <c r="FD18" s="10">
        <v>0</v>
      </c>
      <c r="FE18" s="10">
        <v>0</v>
      </c>
      <c r="FF18" s="10">
        <v>0</v>
      </c>
      <c r="FG18" s="10">
        <v>0</v>
      </c>
      <c r="FH18" s="10">
        <v>1</v>
      </c>
      <c r="FI18" s="10">
        <v>1</v>
      </c>
      <c r="FJ18" s="10">
        <v>3</v>
      </c>
      <c r="FK18" s="81">
        <v>1</v>
      </c>
      <c r="FL18" s="81">
        <v>2</v>
      </c>
      <c r="FM18" s="81">
        <v>0</v>
      </c>
      <c r="FN18" s="81">
        <v>1</v>
      </c>
      <c r="FO18" s="81">
        <v>14</v>
      </c>
      <c r="FP18" s="12">
        <v>0</v>
      </c>
      <c r="FQ18" s="12">
        <v>0</v>
      </c>
      <c r="FR18" s="12">
        <v>0</v>
      </c>
      <c r="FS18" s="12">
        <v>0</v>
      </c>
      <c r="FT18" s="12">
        <v>0</v>
      </c>
      <c r="FU18" s="12">
        <v>0</v>
      </c>
      <c r="FV18" s="12">
        <v>0</v>
      </c>
      <c r="FW18" s="12">
        <v>0</v>
      </c>
      <c r="FX18" s="12">
        <v>8</v>
      </c>
      <c r="FY18" s="12">
        <v>0</v>
      </c>
      <c r="FZ18" s="12">
        <v>0</v>
      </c>
      <c r="GA18" s="12">
        <v>0</v>
      </c>
      <c r="GB18" s="12">
        <v>0</v>
      </c>
      <c r="GC18" s="12">
        <v>0</v>
      </c>
      <c r="GD18" s="12">
        <v>8</v>
      </c>
      <c r="GE18" s="12">
        <v>0</v>
      </c>
      <c r="GF18" s="12">
        <v>3</v>
      </c>
      <c r="GG18" s="12">
        <v>3</v>
      </c>
      <c r="GH18" s="12">
        <v>0</v>
      </c>
      <c r="GI18" s="12">
        <v>0</v>
      </c>
      <c r="GJ18" s="12">
        <v>0</v>
      </c>
      <c r="GK18" s="12">
        <v>0</v>
      </c>
      <c r="GL18" s="12">
        <v>0</v>
      </c>
      <c r="GM18" s="12">
        <v>0</v>
      </c>
      <c r="GN18" s="12">
        <v>2</v>
      </c>
      <c r="GO18" s="12">
        <v>0</v>
      </c>
      <c r="GP18" s="12">
        <v>0</v>
      </c>
      <c r="GQ18" s="12">
        <v>0</v>
      </c>
      <c r="GR18" s="12">
        <v>0</v>
      </c>
      <c r="GS18" s="12">
        <v>0</v>
      </c>
      <c r="GT18" s="12">
        <v>0</v>
      </c>
      <c r="GU18" s="13">
        <v>44</v>
      </c>
      <c r="GV18" s="13">
        <v>4</v>
      </c>
      <c r="GW18" s="13">
        <v>0</v>
      </c>
      <c r="GX18" s="13">
        <v>0</v>
      </c>
      <c r="GY18" s="10">
        <v>0</v>
      </c>
      <c r="GZ18" s="10">
        <v>0</v>
      </c>
      <c r="HA18" s="10">
        <v>0</v>
      </c>
      <c r="HB18" s="10">
        <v>0</v>
      </c>
      <c r="HC18" s="10">
        <v>0</v>
      </c>
      <c r="HD18" s="10">
        <v>0</v>
      </c>
      <c r="HE18" s="10">
        <v>0</v>
      </c>
      <c r="HF18" s="10">
        <v>0</v>
      </c>
      <c r="HG18" s="10">
        <v>0</v>
      </c>
      <c r="HH18" s="10">
        <v>0</v>
      </c>
      <c r="HI18" s="10">
        <v>0</v>
      </c>
      <c r="HJ18" s="10">
        <v>0</v>
      </c>
      <c r="HK18" s="10">
        <v>0</v>
      </c>
      <c r="HL18" s="10">
        <v>0</v>
      </c>
      <c r="HM18" s="10">
        <v>1</v>
      </c>
      <c r="HN18" s="81">
        <v>0</v>
      </c>
      <c r="HO18" s="81">
        <v>0</v>
      </c>
      <c r="HP18" s="81">
        <v>0</v>
      </c>
      <c r="HQ18" s="81">
        <v>0</v>
      </c>
      <c r="HR18" s="81">
        <v>0</v>
      </c>
      <c r="HS18" s="12">
        <v>0</v>
      </c>
      <c r="HT18" s="12">
        <v>0</v>
      </c>
      <c r="HU18" s="12">
        <v>0</v>
      </c>
      <c r="HV18" s="12">
        <v>0</v>
      </c>
      <c r="HW18" s="12">
        <v>0</v>
      </c>
      <c r="HX18" s="12">
        <v>0</v>
      </c>
      <c r="HY18" s="12">
        <v>0</v>
      </c>
      <c r="HZ18" s="12">
        <v>0</v>
      </c>
      <c r="IA18" s="12">
        <v>0</v>
      </c>
      <c r="IB18" s="12">
        <v>0</v>
      </c>
      <c r="IC18" s="12">
        <v>0</v>
      </c>
      <c r="ID18" s="12">
        <v>0</v>
      </c>
      <c r="IE18" s="12">
        <v>0</v>
      </c>
      <c r="IF18" s="12">
        <v>0</v>
      </c>
      <c r="IG18" s="12">
        <v>3</v>
      </c>
      <c r="IH18" s="12">
        <v>0</v>
      </c>
      <c r="II18" s="12">
        <v>0</v>
      </c>
      <c r="IJ18" s="12">
        <v>0</v>
      </c>
      <c r="IK18" s="12">
        <v>0</v>
      </c>
      <c r="IL18" s="12">
        <v>0</v>
      </c>
      <c r="IM18" s="12">
        <v>0</v>
      </c>
      <c r="IN18" s="12">
        <v>0</v>
      </c>
      <c r="IO18" s="12">
        <v>0</v>
      </c>
      <c r="IP18" s="12">
        <v>0</v>
      </c>
      <c r="IQ18" s="12">
        <v>0</v>
      </c>
      <c r="IR18" s="12">
        <v>0</v>
      </c>
      <c r="IS18" s="12">
        <v>0</v>
      </c>
      <c r="IT18" s="12">
        <v>0</v>
      </c>
      <c r="IU18" s="12">
        <v>0</v>
      </c>
      <c r="IV18" s="12">
        <v>0</v>
      </c>
      <c r="IW18" s="12">
        <v>0</v>
      </c>
      <c r="IX18" s="11">
        <v>19000</v>
      </c>
      <c r="IY18" s="11">
        <v>18000</v>
      </c>
      <c r="IZ18" s="11">
        <v>18000</v>
      </c>
      <c r="JA18" s="85">
        <v>0</v>
      </c>
      <c r="JB18" s="85" t="s">
        <v>603</v>
      </c>
      <c r="JC18" s="85">
        <v>0</v>
      </c>
      <c r="JD18" s="12">
        <v>11</v>
      </c>
      <c r="JE18" s="12">
        <v>3</v>
      </c>
      <c r="JF18" s="12">
        <v>10</v>
      </c>
      <c r="JG18" s="12">
        <v>7</v>
      </c>
      <c r="JH18" s="12">
        <v>10</v>
      </c>
      <c r="JI18" s="12">
        <v>4</v>
      </c>
      <c r="JJ18" s="13" t="s">
        <v>620</v>
      </c>
      <c r="JK18" s="13" t="s">
        <v>619</v>
      </c>
      <c r="JL18" s="13" t="s">
        <v>297</v>
      </c>
      <c r="JM18" s="89"/>
      <c r="JN18" s="89"/>
      <c r="JO18" s="89" t="s">
        <v>296</v>
      </c>
      <c r="JP18" s="89"/>
      <c r="JQ18" s="89"/>
      <c r="JR18" s="89" t="s">
        <v>296</v>
      </c>
      <c r="JS18" s="89" t="s">
        <v>620</v>
      </c>
      <c r="JT18" s="89" t="s">
        <v>619</v>
      </c>
      <c r="JU18" s="89" t="s">
        <v>296</v>
      </c>
      <c r="JV18" s="89"/>
      <c r="JW18" s="89"/>
      <c r="JX18" s="89" t="s">
        <v>297</v>
      </c>
      <c r="JY18" s="12" t="s">
        <v>619</v>
      </c>
      <c r="JZ18" s="12" t="s">
        <v>34</v>
      </c>
      <c r="KA18" s="12" t="s">
        <v>34</v>
      </c>
      <c r="KB18" s="12" t="s">
        <v>34</v>
      </c>
      <c r="KC18" s="12" t="s">
        <v>34</v>
      </c>
      <c r="KD18" s="12" t="s">
        <v>34</v>
      </c>
      <c r="KE18" s="12" t="s">
        <v>34</v>
      </c>
      <c r="KF18" s="12"/>
      <c r="KG18" s="12" t="s">
        <v>619</v>
      </c>
      <c r="KH18" s="12" t="s">
        <v>34</v>
      </c>
      <c r="KI18" s="12" t="s">
        <v>34</v>
      </c>
      <c r="KJ18" s="12" t="s">
        <v>34</v>
      </c>
      <c r="KK18" s="12" t="s">
        <v>34</v>
      </c>
      <c r="KL18" s="12" t="s">
        <v>34</v>
      </c>
      <c r="KM18" s="12" t="s">
        <v>619</v>
      </c>
      <c r="KN18" s="12" t="s">
        <v>619</v>
      </c>
      <c r="KO18" s="12" t="s">
        <v>34</v>
      </c>
      <c r="KP18" s="12" t="s">
        <v>34</v>
      </c>
      <c r="KQ18" s="12" t="s">
        <v>34</v>
      </c>
      <c r="KR18" s="12" t="s">
        <v>619</v>
      </c>
      <c r="KS18" s="12" t="s">
        <v>34</v>
      </c>
      <c r="KT18" s="12" t="s">
        <v>34</v>
      </c>
      <c r="KU18" s="12" t="s">
        <v>34</v>
      </c>
      <c r="KV18" s="12" t="s">
        <v>34</v>
      </c>
      <c r="KW18" s="12" t="s">
        <v>34</v>
      </c>
      <c r="KX18" s="12" t="s">
        <v>619</v>
      </c>
      <c r="KY18" s="12" t="s">
        <v>34</v>
      </c>
      <c r="KZ18" s="12" t="s">
        <v>34</v>
      </c>
      <c r="LA18" s="12" t="s">
        <v>34</v>
      </c>
      <c r="LB18" s="12" t="s">
        <v>34</v>
      </c>
      <c r="LC18" s="12" t="s">
        <v>34</v>
      </c>
      <c r="LD18" s="12" t="s">
        <v>619</v>
      </c>
      <c r="LE18" s="12" t="s">
        <v>34</v>
      </c>
      <c r="LF18" s="12" t="s">
        <v>34</v>
      </c>
      <c r="LG18" s="12" t="s">
        <v>34</v>
      </c>
      <c r="LH18" s="12" t="s">
        <v>34</v>
      </c>
      <c r="LI18" s="12" t="s">
        <v>619</v>
      </c>
      <c r="LJ18" s="12" t="s">
        <v>619</v>
      </c>
      <c r="LK18" s="12" t="s">
        <v>34</v>
      </c>
      <c r="LL18" s="13" t="s">
        <v>34</v>
      </c>
      <c r="LM18" s="13" t="s">
        <v>34</v>
      </c>
      <c r="LN18" s="13" t="s">
        <v>34</v>
      </c>
      <c r="LO18" s="13" t="s">
        <v>34</v>
      </c>
      <c r="LP18" s="90" t="s">
        <v>34</v>
      </c>
      <c r="LQ18" s="13" t="s">
        <v>34</v>
      </c>
      <c r="LR18" s="13" t="s">
        <v>34</v>
      </c>
      <c r="LS18" s="13"/>
      <c r="LT18" s="13" t="s">
        <v>34</v>
      </c>
      <c r="LU18" s="13" t="s">
        <v>34</v>
      </c>
      <c r="LV18" s="13" t="s">
        <v>34</v>
      </c>
      <c r="LW18" s="13" t="s">
        <v>34</v>
      </c>
      <c r="LX18" s="13" t="s">
        <v>34</v>
      </c>
      <c r="LY18" s="13" t="s">
        <v>34</v>
      </c>
      <c r="LZ18" s="13" t="s">
        <v>34</v>
      </c>
      <c r="MA18" s="13" t="s">
        <v>34</v>
      </c>
      <c r="MB18" s="13" t="s">
        <v>619</v>
      </c>
      <c r="MC18" s="13" t="s">
        <v>34</v>
      </c>
      <c r="MD18" s="13" t="s">
        <v>619</v>
      </c>
      <c r="ME18" s="13" t="s">
        <v>34</v>
      </c>
      <c r="MF18" s="13" t="s">
        <v>34</v>
      </c>
      <c r="MG18" s="13" t="s">
        <v>34</v>
      </c>
      <c r="MH18" s="13" t="s">
        <v>34</v>
      </c>
      <c r="MI18" s="13" t="s">
        <v>34</v>
      </c>
      <c r="MJ18" s="13" t="s">
        <v>34</v>
      </c>
      <c r="MK18" s="13" t="s">
        <v>34</v>
      </c>
      <c r="ML18" s="13" t="s">
        <v>34</v>
      </c>
      <c r="MM18" s="13" t="s">
        <v>34</v>
      </c>
      <c r="MN18" s="13" t="s">
        <v>34</v>
      </c>
      <c r="MO18" s="13" t="s">
        <v>619</v>
      </c>
      <c r="MP18" s="13" t="s">
        <v>34</v>
      </c>
      <c r="MQ18" s="13" t="s">
        <v>34</v>
      </c>
      <c r="MR18" s="13" t="s">
        <v>34</v>
      </c>
      <c r="MS18" s="13" t="s">
        <v>34</v>
      </c>
      <c r="MT18" s="13" t="s">
        <v>34</v>
      </c>
      <c r="MU18" s="13" t="s">
        <v>619</v>
      </c>
      <c r="MV18" s="13" t="s">
        <v>34</v>
      </c>
      <c r="MW18" s="13" t="s">
        <v>34</v>
      </c>
      <c r="MX18" s="13" t="s">
        <v>619</v>
      </c>
      <c r="MY18" s="28" t="s">
        <v>296</v>
      </c>
      <c r="MZ18" s="28" t="s">
        <v>296</v>
      </c>
      <c r="NA18" s="28" t="s">
        <v>296</v>
      </c>
      <c r="NB18" s="28" t="s">
        <v>296</v>
      </c>
      <c r="NC18" s="28" t="s">
        <v>296</v>
      </c>
      <c r="ND18" s="28" t="s">
        <v>296</v>
      </c>
      <c r="NE18" s="28" t="s">
        <v>296</v>
      </c>
      <c r="NF18" s="28" t="s">
        <v>297</v>
      </c>
      <c r="NG18" s="28" t="s">
        <v>297</v>
      </c>
      <c r="NH18" s="28" t="s">
        <v>297</v>
      </c>
      <c r="NI18" s="177" t="s">
        <v>296</v>
      </c>
      <c r="NJ18" s="177" t="s">
        <v>297</v>
      </c>
      <c r="NK18" s="177" t="s">
        <v>296</v>
      </c>
      <c r="NL18" s="177" t="s">
        <v>297</v>
      </c>
      <c r="NM18" s="177" t="s">
        <v>296</v>
      </c>
      <c r="NN18" s="177" t="s">
        <v>296</v>
      </c>
      <c r="NO18" s="177" t="s">
        <v>297</v>
      </c>
      <c r="NP18" s="177" t="s">
        <v>297</v>
      </c>
      <c r="NQ18" s="177" t="s">
        <v>297</v>
      </c>
      <c r="NR18" s="12" t="s">
        <v>34</v>
      </c>
      <c r="NS18" s="13" t="s">
        <v>34</v>
      </c>
    </row>
    <row r="19" spans="1:383" x14ac:dyDescent="0.25">
      <c r="A19" s="8" t="s">
        <v>73</v>
      </c>
      <c r="B19" s="9" t="s">
        <v>74</v>
      </c>
      <c r="C19" s="9">
        <v>24</v>
      </c>
      <c r="D19" s="9" t="s">
        <v>75</v>
      </c>
      <c r="E19" s="10">
        <v>36</v>
      </c>
      <c r="F19" s="10">
        <v>35</v>
      </c>
      <c r="G19" s="10">
        <v>30</v>
      </c>
      <c r="H19" s="10">
        <v>28</v>
      </c>
      <c r="I19" s="10">
        <v>19</v>
      </c>
      <c r="J19" s="11">
        <v>152</v>
      </c>
      <c r="K19" s="11">
        <v>157</v>
      </c>
      <c r="L19" s="11">
        <v>126</v>
      </c>
      <c r="M19" s="11">
        <v>113</v>
      </c>
      <c r="N19" s="11">
        <v>39</v>
      </c>
      <c r="O19" s="13">
        <v>2266</v>
      </c>
      <c r="P19" s="13">
        <v>2190</v>
      </c>
      <c r="Q19" s="13">
        <v>2137</v>
      </c>
      <c r="R19" s="13">
        <v>1803</v>
      </c>
      <c r="S19" s="13">
        <v>613</v>
      </c>
      <c r="T19" s="12">
        <v>133</v>
      </c>
      <c r="U19" s="12">
        <v>257</v>
      </c>
      <c r="V19" s="12">
        <v>213</v>
      </c>
      <c r="W19" s="12">
        <v>211</v>
      </c>
      <c r="X19" s="12">
        <v>57</v>
      </c>
      <c r="Y19" s="12">
        <v>6.93</v>
      </c>
      <c r="Z19" s="12">
        <v>7</v>
      </c>
      <c r="AA19" s="12">
        <v>5.5</v>
      </c>
      <c r="AB19" s="13">
        <v>6.93</v>
      </c>
      <c r="AC19" s="13">
        <v>7</v>
      </c>
      <c r="AD19" s="13">
        <v>5.5</v>
      </c>
      <c r="AE19" s="35" t="s">
        <v>259</v>
      </c>
      <c r="AF19" s="35" t="s">
        <v>259</v>
      </c>
      <c r="AG19" s="35" t="s">
        <v>259</v>
      </c>
      <c r="AH19" s="38">
        <v>0.5</v>
      </c>
      <c r="AI19" s="38">
        <v>0.5</v>
      </c>
      <c r="AJ19" s="38">
        <v>0.5</v>
      </c>
      <c r="AK19" s="45" t="s">
        <v>34</v>
      </c>
      <c r="AL19" s="45" t="s">
        <v>34</v>
      </c>
      <c r="AM19" s="45" t="s">
        <v>34</v>
      </c>
      <c r="AN19" s="45" t="s">
        <v>34</v>
      </c>
      <c r="AO19" s="45" t="s">
        <v>34</v>
      </c>
      <c r="AP19" s="45" t="s">
        <v>292</v>
      </c>
      <c r="AQ19" s="53" t="s">
        <v>297</v>
      </c>
      <c r="AR19" s="56">
        <v>17</v>
      </c>
      <c r="AS19" s="57">
        <v>58</v>
      </c>
      <c r="AT19" s="56">
        <v>2</v>
      </c>
      <c r="AU19" s="57">
        <v>2895</v>
      </c>
      <c r="AV19" s="57">
        <v>9386</v>
      </c>
      <c r="AW19" s="57">
        <v>335</v>
      </c>
      <c r="AX19" s="57">
        <v>1</v>
      </c>
      <c r="AY19" s="57">
        <v>0</v>
      </c>
      <c r="AZ19" s="57">
        <v>0</v>
      </c>
      <c r="BA19" s="57">
        <v>431</v>
      </c>
      <c r="BB19" s="57">
        <v>1220</v>
      </c>
      <c r="BC19" s="57">
        <v>350</v>
      </c>
      <c r="BD19" s="57">
        <v>476</v>
      </c>
      <c r="BE19" s="57">
        <v>4472</v>
      </c>
      <c r="BF19" s="57">
        <v>3302</v>
      </c>
      <c r="BG19" s="57">
        <v>23</v>
      </c>
      <c r="BH19" s="57">
        <v>130</v>
      </c>
      <c r="BI19" s="57">
        <v>182</v>
      </c>
      <c r="BJ19" s="57" t="s">
        <v>297</v>
      </c>
      <c r="BK19" s="57">
        <v>0</v>
      </c>
      <c r="BL19" s="57">
        <v>0</v>
      </c>
      <c r="BM19" s="57">
        <v>0</v>
      </c>
      <c r="BN19" s="57">
        <v>0</v>
      </c>
      <c r="BO19" s="57">
        <v>195</v>
      </c>
      <c r="BP19" s="57">
        <v>24</v>
      </c>
      <c r="BQ19" s="76">
        <v>315</v>
      </c>
      <c r="BR19" s="76">
        <v>313</v>
      </c>
      <c r="BS19">
        <v>306</v>
      </c>
      <c r="BT19">
        <v>306</v>
      </c>
      <c r="BU19">
        <v>304</v>
      </c>
      <c r="BV19">
        <v>24995</v>
      </c>
      <c r="BW19">
        <v>24784</v>
      </c>
      <c r="BX19">
        <v>24262</v>
      </c>
      <c r="BY19">
        <v>23840</v>
      </c>
      <c r="BZ19">
        <v>23245</v>
      </c>
      <c r="CA19">
        <v>64</v>
      </c>
      <c r="CB19">
        <v>67</v>
      </c>
      <c r="CC19">
        <v>52</v>
      </c>
      <c r="CD19">
        <v>45</v>
      </c>
      <c r="CE19">
        <v>18</v>
      </c>
      <c r="CF19">
        <v>2399</v>
      </c>
      <c r="CG19">
        <v>2447</v>
      </c>
      <c r="CH19">
        <v>2350</v>
      </c>
      <c r="CI19">
        <v>2014</v>
      </c>
      <c r="CJ19">
        <v>670</v>
      </c>
      <c r="CK19" s="10">
        <v>25</v>
      </c>
      <c r="CL19" s="10">
        <v>25</v>
      </c>
      <c r="CM19" s="10">
        <v>40</v>
      </c>
      <c r="CN19" s="11">
        <v>19.53</v>
      </c>
      <c r="CO19" s="11">
        <v>20</v>
      </c>
      <c r="CP19" s="11">
        <v>20</v>
      </c>
      <c r="CQ19" s="13">
        <v>3</v>
      </c>
      <c r="CR19" s="13">
        <v>2</v>
      </c>
      <c r="CS19" s="13">
        <v>0</v>
      </c>
      <c r="CT19" s="10">
        <v>0</v>
      </c>
      <c r="CU19" s="10">
        <v>0</v>
      </c>
      <c r="CV19" s="10">
        <v>1</v>
      </c>
      <c r="CW19" s="10">
        <v>2</v>
      </c>
      <c r="CX19" s="10">
        <v>0</v>
      </c>
      <c r="CY19" s="10">
        <v>0</v>
      </c>
      <c r="CZ19" s="10">
        <v>0</v>
      </c>
      <c r="DA19" s="10">
        <v>0</v>
      </c>
      <c r="DB19" s="10">
        <v>0</v>
      </c>
      <c r="DC19" s="10">
        <v>0</v>
      </c>
      <c r="DD19" s="10">
        <v>0</v>
      </c>
      <c r="DE19" s="10">
        <v>0</v>
      </c>
      <c r="DF19" s="10">
        <v>0</v>
      </c>
      <c r="DG19" s="10">
        <v>0</v>
      </c>
      <c r="DH19" s="10">
        <v>0</v>
      </c>
      <c r="DI19" s="81">
        <v>0</v>
      </c>
      <c r="DJ19" s="81">
        <v>0</v>
      </c>
      <c r="DK19" s="81">
        <v>0</v>
      </c>
      <c r="DL19" s="81">
        <v>0</v>
      </c>
      <c r="DM19" s="81">
        <v>0</v>
      </c>
      <c r="DN19" s="12">
        <v>0</v>
      </c>
      <c r="DO19" s="12">
        <v>0</v>
      </c>
      <c r="DP19" s="12">
        <v>0</v>
      </c>
      <c r="DQ19" s="12">
        <v>0</v>
      </c>
      <c r="DR19" s="12">
        <v>0</v>
      </c>
      <c r="DS19" s="12">
        <v>0</v>
      </c>
      <c r="DT19" s="12">
        <v>0</v>
      </c>
      <c r="DU19" s="12">
        <v>0</v>
      </c>
      <c r="DV19" s="12">
        <v>3</v>
      </c>
      <c r="DW19" s="12">
        <v>0</v>
      </c>
      <c r="DX19" s="12">
        <v>0</v>
      </c>
      <c r="DY19" s="12">
        <v>0</v>
      </c>
      <c r="DZ19" s="12">
        <v>1</v>
      </c>
      <c r="EA19" s="12">
        <v>0</v>
      </c>
      <c r="EB19" s="12">
        <v>0</v>
      </c>
      <c r="EC19" s="12">
        <v>0</v>
      </c>
      <c r="ED19" s="12">
        <v>3</v>
      </c>
      <c r="EE19" s="12">
        <v>0</v>
      </c>
      <c r="EF19" s="12">
        <v>0</v>
      </c>
      <c r="EG19" s="12">
        <v>0</v>
      </c>
      <c r="EH19" s="12">
        <v>0</v>
      </c>
      <c r="EI19" s="12">
        <v>0</v>
      </c>
      <c r="EJ19" s="12">
        <v>0</v>
      </c>
      <c r="EK19" s="12">
        <v>0</v>
      </c>
      <c r="EL19" s="12">
        <v>0</v>
      </c>
      <c r="EM19" s="12">
        <v>0</v>
      </c>
      <c r="EN19" s="12">
        <v>1</v>
      </c>
      <c r="EO19" s="12">
        <v>0</v>
      </c>
      <c r="EP19" s="12">
        <v>0</v>
      </c>
      <c r="EQ19" s="12">
        <v>0</v>
      </c>
      <c r="ER19" s="12">
        <v>0</v>
      </c>
      <c r="ES19" s="13">
        <v>6</v>
      </c>
      <c r="ET19" s="13">
        <v>2</v>
      </c>
      <c r="EU19" s="13">
        <v>0</v>
      </c>
      <c r="EV19" s="10">
        <v>0</v>
      </c>
      <c r="EW19" s="10">
        <v>0</v>
      </c>
      <c r="EX19" s="10">
        <v>4</v>
      </c>
      <c r="EY19" s="10">
        <v>6</v>
      </c>
      <c r="EZ19" s="10">
        <v>5</v>
      </c>
      <c r="FA19" s="10">
        <v>0</v>
      </c>
      <c r="FB19" s="10">
        <v>0</v>
      </c>
      <c r="FC19" s="10">
        <v>0</v>
      </c>
      <c r="FD19" s="10">
        <v>0</v>
      </c>
      <c r="FE19" s="10">
        <v>0</v>
      </c>
      <c r="FF19" s="10">
        <v>0</v>
      </c>
      <c r="FG19" s="10">
        <v>0</v>
      </c>
      <c r="FH19" s="10">
        <v>2</v>
      </c>
      <c r="FI19" s="10">
        <v>0</v>
      </c>
      <c r="FJ19" s="10">
        <v>6</v>
      </c>
      <c r="FK19" s="81">
        <v>0</v>
      </c>
      <c r="FL19" s="81">
        <v>0</v>
      </c>
      <c r="FM19" s="81">
        <v>2</v>
      </c>
      <c r="FN19" s="81">
        <v>0</v>
      </c>
      <c r="FO19" s="81">
        <v>0</v>
      </c>
      <c r="FP19" s="12">
        <v>0</v>
      </c>
      <c r="FQ19" s="12">
        <v>0</v>
      </c>
      <c r="FR19" s="12">
        <v>1</v>
      </c>
      <c r="FS19" s="12">
        <v>0</v>
      </c>
      <c r="FT19" s="12">
        <v>0</v>
      </c>
      <c r="FU19" s="12">
        <v>0</v>
      </c>
      <c r="FV19" s="12">
        <v>0</v>
      </c>
      <c r="FW19" s="12">
        <v>0</v>
      </c>
      <c r="FX19" s="12">
        <v>3</v>
      </c>
      <c r="FY19" s="12">
        <v>0</v>
      </c>
      <c r="FZ19" s="12">
        <v>0</v>
      </c>
      <c r="GA19" s="12">
        <v>2</v>
      </c>
      <c r="GB19" s="12">
        <v>0</v>
      </c>
      <c r="GC19" s="12">
        <v>0</v>
      </c>
      <c r="GD19" s="12">
        <v>5</v>
      </c>
      <c r="GE19" s="12">
        <v>0</v>
      </c>
      <c r="GF19" s="12">
        <v>10</v>
      </c>
      <c r="GG19" s="12">
        <v>0</v>
      </c>
      <c r="GH19" s="12">
        <v>5</v>
      </c>
      <c r="GI19" s="12">
        <v>0</v>
      </c>
      <c r="GJ19" s="12">
        <v>0</v>
      </c>
      <c r="GK19" s="12">
        <v>0</v>
      </c>
      <c r="GL19" s="12">
        <v>0</v>
      </c>
      <c r="GM19" s="12">
        <v>0</v>
      </c>
      <c r="GN19" s="12">
        <v>4</v>
      </c>
      <c r="GO19" s="12">
        <v>2</v>
      </c>
      <c r="GP19" s="12">
        <v>5</v>
      </c>
      <c r="GQ19" s="12">
        <v>0</v>
      </c>
      <c r="GR19" s="12">
        <v>0</v>
      </c>
      <c r="GS19" s="12">
        <v>5</v>
      </c>
      <c r="GT19" s="12">
        <v>0</v>
      </c>
      <c r="GU19" s="13">
        <v>58</v>
      </c>
      <c r="GV19" s="13">
        <v>1</v>
      </c>
      <c r="GW19" s="13">
        <v>0</v>
      </c>
      <c r="GX19" s="13">
        <v>0</v>
      </c>
      <c r="GY19" s="10">
        <v>0</v>
      </c>
      <c r="GZ19" s="10">
        <v>0</v>
      </c>
      <c r="HA19" s="10">
        <v>0</v>
      </c>
      <c r="HB19" s="10">
        <v>0</v>
      </c>
      <c r="HC19" s="10">
        <v>0</v>
      </c>
      <c r="HD19" s="10">
        <v>0</v>
      </c>
      <c r="HE19" s="10">
        <v>0</v>
      </c>
      <c r="HF19" s="10">
        <v>0</v>
      </c>
      <c r="HG19" s="10">
        <v>0</v>
      </c>
      <c r="HH19" s="10">
        <v>0</v>
      </c>
      <c r="HI19" s="10">
        <v>0</v>
      </c>
      <c r="HJ19" s="10">
        <v>0</v>
      </c>
      <c r="HK19" s="10">
        <v>0</v>
      </c>
      <c r="HL19" s="10">
        <v>0</v>
      </c>
      <c r="HM19" s="10">
        <v>0</v>
      </c>
      <c r="HN19" s="81">
        <v>0</v>
      </c>
      <c r="HO19" s="81">
        <v>0</v>
      </c>
      <c r="HP19" s="81">
        <v>0</v>
      </c>
      <c r="HQ19" s="81">
        <v>0</v>
      </c>
      <c r="HR19" s="81">
        <v>0</v>
      </c>
      <c r="HS19" s="12">
        <v>0</v>
      </c>
      <c r="HT19" s="12">
        <v>0</v>
      </c>
      <c r="HU19" s="12">
        <v>0</v>
      </c>
      <c r="HV19" s="12">
        <v>0</v>
      </c>
      <c r="HW19" s="12">
        <v>0</v>
      </c>
      <c r="HX19" s="12">
        <v>0</v>
      </c>
      <c r="HY19" s="12">
        <v>0</v>
      </c>
      <c r="HZ19" s="12">
        <v>0</v>
      </c>
      <c r="IA19" s="12">
        <v>0</v>
      </c>
      <c r="IB19" s="12">
        <v>0</v>
      </c>
      <c r="IC19" s="12">
        <v>0</v>
      </c>
      <c r="ID19" s="12">
        <v>0</v>
      </c>
      <c r="IE19" s="12">
        <v>0</v>
      </c>
      <c r="IF19" s="12">
        <v>0</v>
      </c>
      <c r="IG19" s="12">
        <v>0</v>
      </c>
      <c r="IH19" s="12">
        <v>0</v>
      </c>
      <c r="II19" s="12">
        <v>0</v>
      </c>
      <c r="IJ19" s="12">
        <v>0</v>
      </c>
      <c r="IK19" s="12">
        <v>0</v>
      </c>
      <c r="IL19" s="12">
        <v>0</v>
      </c>
      <c r="IM19" s="12">
        <v>0</v>
      </c>
      <c r="IN19" s="12">
        <v>0</v>
      </c>
      <c r="IO19" s="12">
        <v>0</v>
      </c>
      <c r="IP19" s="12">
        <v>0</v>
      </c>
      <c r="IQ19" s="12">
        <v>0</v>
      </c>
      <c r="IR19" s="12">
        <v>0</v>
      </c>
      <c r="IS19" s="12">
        <v>0</v>
      </c>
      <c r="IT19" s="12">
        <v>0</v>
      </c>
      <c r="IU19" s="12">
        <v>0</v>
      </c>
      <c r="IV19" s="12">
        <v>0</v>
      </c>
      <c r="IW19" s="12">
        <v>0</v>
      </c>
      <c r="IX19" s="11">
        <v>27000</v>
      </c>
      <c r="IY19" s="11">
        <v>27000</v>
      </c>
      <c r="IZ19" s="11">
        <v>27000</v>
      </c>
      <c r="JA19" s="85" t="s">
        <v>604</v>
      </c>
      <c r="JB19" s="85">
        <v>1</v>
      </c>
      <c r="JC19" s="85">
        <v>0</v>
      </c>
      <c r="JD19" s="12">
        <v>5</v>
      </c>
      <c r="JE19" s="12">
        <v>2</v>
      </c>
      <c r="JF19" s="12">
        <v>5</v>
      </c>
      <c r="JG19" s="12">
        <v>1</v>
      </c>
      <c r="JH19" s="12">
        <v>5</v>
      </c>
      <c r="JI19" s="12">
        <v>0</v>
      </c>
      <c r="JJ19" s="13" t="s">
        <v>620</v>
      </c>
      <c r="JK19" s="13" t="s">
        <v>620</v>
      </c>
      <c r="JL19" s="13" t="s">
        <v>296</v>
      </c>
      <c r="JM19" s="89"/>
      <c r="JN19" s="89"/>
      <c r="JO19" s="89" t="s">
        <v>297</v>
      </c>
      <c r="JP19" s="89"/>
      <c r="JQ19" s="89"/>
      <c r="JR19" s="89" t="s">
        <v>296</v>
      </c>
      <c r="JS19" s="89" t="s">
        <v>620</v>
      </c>
      <c r="JT19" s="89" t="s">
        <v>619</v>
      </c>
      <c r="JU19" s="89" t="s">
        <v>296</v>
      </c>
      <c r="JV19" s="89"/>
      <c r="JW19" s="89"/>
      <c r="JX19" s="89" t="s">
        <v>297</v>
      </c>
      <c r="JY19" s="12" t="s">
        <v>619</v>
      </c>
      <c r="JZ19" s="12" t="s">
        <v>34</v>
      </c>
      <c r="KA19" s="12" t="s">
        <v>34</v>
      </c>
      <c r="KB19" s="12" t="s">
        <v>34</v>
      </c>
      <c r="KC19" s="12" t="s">
        <v>34</v>
      </c>
      <c r="KD19" s="12" t="s">
        <v>34</v>
      </c>
      <c r="KE19" s="12" t="s">
        <v>34</v>
      </c>
      <c r="KF19" s="12"/>
      <c r="KG19" s="12" t="s">
        <v>34</v>
      </c>
      <c r="KH19" s="12" t="s">
        <v>34</v>
      </c>
      <c r="KI19" s="12" t="s">
        <v>34</v>
      </c>
      <c r="KJ19" s="12" t="s">
        <v>34</v>
      </c>
      <c r="KK19" s="12" t="s">
        <v>34</v>
      </c>
      <c r="KL19" s="12" t="s">
        <v>34</v>
      </c>
      <c r="KM19" s="12" t="s">
        <v>34</v>
      </c>
      <c r="KN19" s="12" t="s">
        <v>34</v>
      </c>
      <c r="KO19" s="12" t="s">
        <v>34</v>
      </c>
      <c r="KP19" s="12" t="s">
        <v>34</v>
      </c>
      <c r="KQ19" s="12" t="s">
        <v>34</v>
      </c>
      <c r="KR19" s="12" t="s">
        <v>34</v>
      </c>
      <c r="KS19" s="12" t="s">
        <v>34</v>
      </c>
      <c r="KT19" s="12" t="s">
        <v>34</v>
      </c>
      <c r="KU19" s="12" t="s">
        <v>34</v>
      </c>
      <c r="KV19" s="12" t="s">
        <v>34</v>
      </c>
      <c r="KW19" s="12" t="s">
        <v>34</v>
      </c>
      <c r="KX19" s="12" t="s">
        <v>34</v>
      </c>
      <c r="KY19" s="12" t="s">
        <v>34</v>
      </c>
      <c r="KZ19" s="12" t="s">
        <v>34</v>
      </c>
      <c r="LA19" s="12" t="s">
        <v>34</v>
      </c>
      <c r="LB19" s="12" t="s">
        <v>34</v>
      </c>
      <c r="LC19" s="12" t="s">
        <v>34</v>
      </c>
      <c r="LD19" s="12" t="s">
        <v>619</v>
      </c>
      <c r="LE19" s="12" t="s">
        <v>34</v>
      </c>
      <c r="LF19" s="12" t="s">
        <v>34</v>
      </c>
      <c r="LG19" s="12" t="s">
        <v>34</v>
      </c>
      <c r="LH19" s="12" t="s">
        <v>34</v>
      </c>
      <c r="LI19" s="12" t="s">
        <v>619</v>
      </c>
      <c r="LJ19" s="12" t="s">
        <v>34</v>
      </c>
      <c r="LK19" s="12" t="s">
        <v>34</v>
      </c>
      <c r="LL19" s="13" t="s">
        <v>34</v>
      </c>
      <c r="LM19" s="13" t="s">
        <v>34</v>
      </c>
      <c r="LN19" s="13" t="s">
        <v>34</v>
      </c>
      <c r="LO19" s="13" t="s">
        <v>34</v>
      </c>
      <c r="LP19" s="90" t="s">
        <v>34</v>
      </c>
      <c r="LQ19" s="13" t="s">
        <v>34</v>
      </c>
      <c r="LR19" s="13" t="s">
        <v>34</v>
      </c>
      <c r="LS19" s="13"/>
      <c r="LT19" s="13" t="s">
        <v>34</v>
      </c>
      <c r="LU19" s="13" t="s">
        <v>34</v>
      </c>
      <c r="LV19" s="13" t="s">
        <v>34</v>
      </c>
      <c r="LW19" s="13" t="s">
        <v>34</v>
      </c>
      <c r="LX19" s="13" t="s">
        <v>34</v>
      </c>
      <c r="LY19" s="13" t="s">
        <v>34</v>
      </c>
      <c r="LZ19" s="13" t="s">
        <v>34</v>
      </c>
      <c r="MA19" s="13" t="s">
        <v>619</v>
      </c>
      <c r="MB19" s="13" t="s">
        <v>34</v>
      </c>
      <c r="MC19" s="13" t="s">
        <v>34</v>
      </c>
      <c r="MD19" s="13" t="s">
        <v>34</v>
      </c>
      <c r="ME19" s="13" t="s">
        <v>34</v>
      </c>
      <c r="MF19" s="13" t="s">
        <v>34</v>
      </c>
      <c r="MG19" s="13" t="s">
        <v>34</v>
      </c>
      <c r="MH19" s="13" t="s">
        <v>34</v>
      </c>
      <c r="MI19" s="13" t="s">
        <v>34</v>
      </c>
      <c r="MJ19" s="13" t="s">
        <v>34</v>
      </c>
      <c r="MK19" s="13" t="s">
        <v>34</v>
      </c>
      <c r="ML19" s="13" t="s">
        <v>34</v>
      </c>
      <c r="MM19" s="13" t="s">
        <v>34</v>
      </c>
      <c r="MN19" s="13" t="s">
        <v>34</v>
      </c>
      <c r="MO19" s="13" t="s">
        <v>34</v>
      </c>
      <c r="MP19" s="13" t="s">
        <v>34</v>
      </c>
      <c r="MQ19" s="13" t="s">
        <v>34</v>
      </c>
      <c r="MR19" s="13" t="s">
        <v>34</v>
      </c>
      <c r="MS19" s="13" t="s">
        <v>34</v>
      </c>
      <c r="MT19" s="13" t="s">
        <v>34</v>
      </c>
      <c r="MU19" s="13" t="s">
        <v>34</v>
      </c>
      <c r="MV19" s="13" t="s">
        <v>34</v>
      </c>
      <c r="MW19" s="13" t="s">
        <v>34</v>
      </c>
      <c r="MX19" s="13" t="s">
        <v>34</v>
      </c>
      <c r="MY19" s="28" t="s">
        <v>296</v>
      </c>
      <c r="MZ19" s="28" t="s">
        <v>296</v>
      </c>
      <c r="NA19" s="28" t="s">
        <v>296</v>
      </c>
      <c r="NB19" s="28" t="s">
        <v>296</v>
      </c>
      <c r="NC19" s="28" t="s">
        <v>296</v>
      </c>
      <c r="ND19" s="28" t="s">
        <v>296</v>
      </c>
      <c r="NE19" s="28" t="s">
        <v>296</v>
      </c>
      <c r="NF19" s="28" t="s">
        <v>297</v>
      </c>
      <c r="NG19" s="28" t="s">
        <v>297</v>
      </c>
      <c r="NH19" s="28" t="s">
        <v>297</v>
      </c>
      <c r="NI19" s="177" t="s">
        <v>296</v>
      </c>
      <c r="NJ19" s="177" t="s">
        <v>297</v>
      </c>
      <c r="NK19" s="177" t="s">
        <v>296</v>
      </c>
      <c r="NL19" s="177" t="s">
        <v>296</v>
      </c>
      <c r="NM19" s="177" t="s">
        <v>296</v>
      </c>
      <c r="NN19" s="177" t="s">
        <v>296</v>
      </c>
      <c r="NO19" s="177" t="s">
        <v>296</v>
      </c>
      <c r="NP19" s="177" t="s">
        <v>297</v>
      </c>
      <c r="NQ19" s="177" t="s">
        <v>296</v>
      </c>
      <c r="NR19" s="12" t="s">
        <v>34</v>
      </c>
      <c r="NS19" s="13" t="s">
        <v>34</v>
      </c>
    </row>
    <row r="20" spans="1:383" x14ac:dyDescent="0.25">
      <c r="A20" s="8" t="s">
        <v>76</v>
      </c>
      <c r="B20" s="9" t="s">
        <v>77</v>
      </c>
      <c r="C20" s="9">
        <v>75</v>
      </c>
      <c r="D20" s="9" t="s">
        <v>70</v>
      </c>
      <c r="E20" s="10">
        <v>140</v>
      </c>
      <c r="F20" s="10">
        <v>142</v>
      </c>
      <c r="G20" s="10">
        <v>144</v>
      </c>
      <c r="H20" s="10">
        <v>150</v>
      </c>
      <c r="I20" s="10">
        <v>137</v>
      </c>
      <c r="J20" s="11">
        <v>431</v>
      </c>
      <c r="K20" s="11">
        <v>475</v>
      </c>
      <c r="L20" s="11">
        <v>525</v>
      </c>
      <c r="M20" s="11">
        <v>540</v>
      </c>
      <c r="N20" s="11">
        <v>464</v>
      </c>
      <c r="O20" s="13">
        <v>8075</v>
      </c>
      <c r="P20" s="13">
        <v>8320</v>
      </c>
      <c r="Q20" s="13">
        <v>9374</v>
      </c>
      <c r="R20" s="13">
        <v>9429</v>
      </c>
      <c r="S20" s="13">
        <v>8273</v>
      </c>
      <c r="T20" s="12">
        <v>1933</v>
      </c>
      <c r="U20" s="12">
        <v>2521</v>
      </c>
      <c r="V20" s="12">
        <v>2958</v>
      </c>
      <c r="W20" s="12">
        <v>3058</v>
      </c>
      <c r="X20" s="12">
        <v>2829</v>
      </c>
      <c r="Y20" s="12">
        <v>9.64</v>
      </c>
      <c r="Z20" s="12">
        <v>9.68</v>
      </c>
      <c r="AA20" s="12">
        <v>9.68</v>
      </c>
      <c r="AB20" s="13">
        <v>7.59</v>
      </c>
      <c r="AC20" s="13">
        <v>7.63</v>
      </c>
      <c r="AD20" s="13">
        <v>7.63</v>
      </c>
      <c r="AE20" s="35" t="s">
        <v>258</v>
      </c>
      <c r="AF20" s="35" t="s">
        <v>259</v>
      </c>
      <c r="AG20" s="35" t="s">
        <v>259</v>
      </c>
      <c r="AH20" s="38">
        <v>1</v>
      </c>
      <c r="AI20" s="38">
        <v>1</v>
      </c>
      <c r="AJ20" s="38">
        <v>1</v>
      </c>
      <c r="AK20" s="45" t="s">
        <v>288</v>
      </c>
      <c r="AL20" s="45" t="s">
        <v>34</v>
      </c>
      <c r="AM20" s="45" t="s">
        <v>34</v>
      </c>
      <c r="AN20" s="45" t="s">
        <v>293</v>
      </c>
      <c r="AO20" s="45" t="s">
        <v>34</v>
      </c>
      <c r="AP20" s="45" t="s">
        <v>292</v>
      </c>
      <c r="AQ20" s="53" t="s">
        <v>297</v>
      </c>
      <c r="AR20" s="56">
        <v>340</v>
      </c>
      <c r="AS20" s="57">
        <v>389</v>
      </c>
      <c r="AT20" s="56">
        <v>172</v>
      </c>
      <c r="AU20" s="57">
        <v>41827</v>
      </c>
      <c r="AV20" s="57">
        <v>45621</v>
      </c>
      <c r="AW20" s="57">
        <v>17783</v>
      </c>
      <c r="AX20" s="57">
        <v>41</v>
      </c>
      <c r="AY20" s="57">
        <v>55</v>
      </c>
      <c r="AZ20" s="57">
        <v>1</v>
      </c>
      <c r="BA20" s="57">
        <v>7107</v>
      </c>
      <c r="BB20" s="57">
        <v>15026</v>
      </c>
      <c r="BC20" s="57">
        <v>18349</v>
      </c>
      <c r="BD20" s="57">
        <v>7511</v>
      </c>
      <c r="BE20" s="57">
        <v>13421</v>
      </c>
      <c r="BF20" s="57">
        <v>19069</v>
      </c>
      <c r="BG20" s="57">
        <v>5108</v>
      </c>
      <c r="BH20" s="57">
        <v>6296</v>
      </c>
      <c r="BI20" s="57">
        <v>5811</v>
      </c>
      <c r="BJ20" s="57" t="s">
        <v>297</v>
      </c>
      <c r="BK20" s="57">
        <v>38</v>
      </c>
      <c r="BL20" s="57">
        <v>0</v>
      </c>
      <c r="BM20" s="57">
        <v>0</v>
      </c>
      <c r="BN20" s="57">
        <v>1500</v>
      </c>
      <c r="BO20" s="57">
        <v>1650</v>
      </c>
      <c r="BP20" s="57">
        <v>530</v>
      </c>
      <c r="BQ20" s="76">
        <v>230</v>
      </c>
      <c r="BR20" s="76">
        <v>223</v>
      </c>
      <c r="BS20">
        <v>218</v>
      </c>
      <c r="BT20">
        <v>218</v>
      </c>
      <c r="BU20">
        <v>216</v>
      </c>
      <c r="BV20">
        <v>18177</v>
      </c>
      <c r="BW20">
        <v>17788</v>
      </c>
      <c r="BX20">
        <v>17438</v>
      </c>
      <c r="BY20">
        <v>17182</v>
      </c>
      <c r="BZ20">
        <v>16695</v>
      </c>
      <c r="CA20">
        <v>140</v>
      </c>
      <c r="CB20">
        <v>170</v>
      </c>
      <c r="CC20">
        <v>145</v>
      </c>
      <c r="CD20">
        <v>171</v>
      </c>
      <c r="CE20">
        <v>162</v>
      </c>
      <c r="CF20">
        <v>10008</v>
      </c>
      <c r="CG20">
        <v>10841</v>
      </c>
      <c r="CH20">
        <v>12332</v>
      </c>
      <c r="CI20">
        <v>12487</v>
      </c>
      <c r="CJ20">
        <v>11102</v>
      </c>
      <c r="CK20" s="10">
        <v>47</v>
      </c>
      <c r="CL20" s="10">
        <v>48</v>
      </c>
      <c r="CM20" s="10">
        <v>48</v>
      </c>
      <c r="CN20" s="11">
        <v>24.9</v>
      </c>
      <c r="CO20" s="11">
        <v>24.89</v>
      </c>
      <c r="CP20" s="11">
        <v>24.89</v>
      </c>
      <c r="CQ20" s="13">
        <v>77</v>
      </c>
      <c r="CR20" s="13">
        <v>67</v>
      </c>
      <c r="CS20" s="13">
        <v>0</v>
      </c>
      <c r="CT20" s="10">
        <v>0</v>
      </c>
      <c r="CU20" s="10">
        <v>9</v>
      </c>
      <c r="CV20" s="10">
        <v>39</v>
      </c>
      <c r="CW20" s="10">
        <v>28</v>
      </c>
      <c r="CX20" s="10">
        <v>13</v>
      </c>
      <c r="CY20" s="10">
        <v>1</v>
      </c>
      <c r="CZ20" s="10">
        <v>0</v>
      </c>
      <c r="DA20" s="10">
        <v>0</v>
      </c>
      <c r="DB20" s="10">
        <v>5</v>
      </c>
      <c r="DC20" s="10">
        <v>0</v>
      </c>
      <c r="DD20" s="10">
        <v>0</v>
      </c>
      <c r="DE20" s="10">
        <v>0</v>
      </c>
      <c r="DF20" s="10">
        <v>1</v>
      </c>
      <c r="DG20" s="10">
        <v>0</v>
      </c>
      <c r="DH20" s="10">
        <v>0</v>
      </c>
      <c r="DI20" s="81">
        <v>1</v>
      </c>
      <c r="DJ20" s="81">
        <v>0</v>
      </c>
      <c r="DK20" s="81">
        <v>10</v>
      </c>
      <c r="DL20" s="81">
        <v>0</v>
      </c>
      <c r="DM20" s="81">
        <v>52</v>
      </c>
      <c r="DN20" s="12">
        <v>4</v>
      </c>
      <c r="DO20" s="12">
        <v>0</v>
      </c>
      <c r="DP20" s="12">
        <v>18</v>
      </c>
      <c r="DQ20" s="12">
        <v>0</v>
      </c>
      <c r="DR20" s="12">
        <v>0</v>
      </c>
      <c r="DS20" s="12">
        <v>3</v>
      </c>
      <c r="DT20" s="12">
        <v>0</v>
      </c>
      <c r="DU20" s="12">
        <v>0</v>
      </c>
      <c r="DV20" s="12">
        <v>33</v>
      </c>
      <c r="DW20" s="12">
        <v>2</v>
      </c>
      <c r="DX20" s="12">
        <v>0</v>
      </c>
      <c r="DY20" s="12">
        <v>10</v>
      </c>
      <c r="DZ20" s="12">
        <v>2</v>
      </c>
      <c r="EA20" s="12">
        <v>0</v>
      </c>
      <c r="EB20" s="12">
        <v>35</v>
      </c>
      <c r="EC20" s="12">
        <v>0</v>
      </c>
      <c r="ED20" s="12">
        <v>34</v>
      </c>
      <c r="EE20" s="12">
        <v>4</v>
      </c>
      <c r="EF20" s="12">
        <v>10</v>
      </c>
      <c r="EG20" s="12">
        <v>0</v>
      </c>
      <c r="EH20" s="12">
        <v>0</v>
      </c>
      <c r="EI20" s="12">
        <v>2</v>
      </c>
      <c r="EJ20" s="12">
        <v>2</v>
      </c>
      <c r="EK20" s="12">
        <v>0</v>
      </c>
      <c r="EL20" s="12">
        <v>8</v>
      </c>
      <c r="EM20" s="12">
        <v>5</v>
      </c>
      <c r="EN20" s="12">
        <v>2</v>
      </c>
      <c r="EO20" s="12">
        <v>0</v>
      </c>
      <c r="EP20" s="12">
        <v>15</v>
      </c>
      <c r="EQ20" s="12">
        <v>0</v>
      </c>
      <c r="ER20" s="12">
        <v>0</v>
      </c>
      <c r="ES20" s="13">
        <v>76</v>
      </c>
      <c r="ET20" s="13">
        <v>67</v>
      </c>
      <c r="EU20" s="13">
        <v>0</v>
      </c>
      <c r="EV20" s="10">
        <v>0</v>
      </c>
      <c r="EW20" s="10">
        <v>17</v>
      </c>
      <c r="EX20" s="10">
        <v>51</v>
      </c>
      <c r="EY20" s="10">
        <v>38</v>
      </c>
      <c r="EZ20" s="10">
        <v>31</v>
      </c>
      <c r="FA20" s="10">
        <v>1</v>
      </c>
      <c r="FB20" s="10">
        <v>0</v>
      </c>
      <c r="FC20" s="10">
        <v>0</v>
      </c>
      <c r="FD20" s="10">
        <v>0</v>
      </c>
      <c r="FE20" s="10">
        <v>0</v>
      </c>
      <c r="FF20" s="10">
        <v>0</v>
      </c>
      <c r="FG20" s="10">
        <v>0</v>
      </c>
      <c r="FH20" s="10">
        <v>1</v>
      </c>
      <c r="FI20" s="10">
        <v>0</v>
      </c>
      <c r="FJ20" s="10">
        <v>0</v>
      </c>
      <c r="FK20" s="81">
        <v>1</v>
      </c>
      <c r="FL20" s="81">
        <v>0</v>
      </c>
      <c r="FM20" s="81">
        <v>15</v>
      </c>
      <c r="FN20" s="81">
        <v>0</v>
      </c>
      <c r="FO20" s="81">
        <v>61</v>
      </c>
      <c r="FP20" s="12">
        <v>12</v>
      </c>
      <c r="FQ20" s="12">
        <v>0</v>
      </c>
      <c r="FR20" s="12">
        <v>16</v>
      </c>
      <c r="FS20" s="12">
        <v>0</v>
      </c>
      <c r="FT20" s="12">
        <v>0</v>
      </c>
      <c r="FU20" s="12">
        <v>0</v>
      </c>
      <c r="FV20" s="12">
        <v>0</v>
      </c>
      <c r="FW20" s="12">
        <v>0</v>
      </c>
      <c r="FX20" s="12">
        <v>43</v>
      </c>
      <c r="FY20" s="12">
        <v>2</v>
      </c>
      <c r="FZ20" s="12">
        <v>0</v>
      </c>
      <c r="GA20" s="12">
        <v>21</v>
      </c>
      <c r="GB20" s="12">
        <v>2</v>
      </c>
      <c r="GC20" s="12">
        <v>0</v>
      </c>
      <c r="GD20" s="12">
        <v>25</v>
      </c>
      <c r="GE20" s="12">
        <v>0</v>
      </c>
      <c r="GF20" s="12">
        <v>35</v>
      </c>
      <c r="GG20" s="12">
        <v>8</v>
      </c>
      <c r="GH20" s="12">
        <v>1</v>
      </c>
      <c r="GI20" s="12">
        <v>0</v>
      </c>
      <c r="GJ20" s="12">
        <v>0</v>
      </c>
      <c r="GK20" s="12">
        <v>0</v>
      </c>
      <c r="GL20" s="12">
        <v>2</v>
      </c>
      <c r="GM20" s="12">
        <v>0</v>
      </c>
      <c r="GN20" s="12">
        <v>6</v>
      </c>
      <c r="GO20" s="12">
        <v>2</v>
      </c>
      <c r="GP20" s="12">
        <v>0</v>
      </c>
      <c r="GQ20" s="12">
        <v>0</v>
      </c>
      <c r="GR20" s="12">
        <v>21</v>
      </c>
      <c r="GS20" s="12">
        <v>4</v>
      </c>
      <c r="GT20" s="12">
        <v>0</v>
      </c>
      <c r="GU20" s="13">
        <v>389</v>
      </c>
      <c r="GV20" s="13">
        <v>56</v>
      </c>
      <c r="GW20" s="13">
        <v>38</v>
      </c>
      <c r="GX20" s="13">
        <v>0</v>
      </c>
      <c r="GY20" s="10">
        <v>0</v>
      </c>
      <c r="GZ20" s="10">
        <v>0</v>
      </c>
      <c r="HA20" s="10">
        <v>11</v>
      </c>
      <c r="HB20" s="10">
        <v>11</v>
      </c>
      <c r="HC20" s="10">
        <v>7</v>
      </c>
      <c r="HD20" s="10">
        <v>0</v>
      </c>
      <c r="HE20" s="10">
        <v>0</v>
      </c>
      <c r="HF20" s="10">
        <v>0</v>
      </c>
      <c r="HG20" s="10">
        <v>2</v>
      </c>
      <c r="HH20" s="10">
        <v>0</v>
      </c>
      <c r="HI20" s="10">
        <v>0</v>
      </c>
      <c r="HJ20" s="10">
        <v>0</v>
      </c>
      <c r="HK20" s="10">
        <v>0</v>
      </c>
      <c r="HL20" s="10">
        <v>0</v>
      </c>
      <c r="HM20" s="10">
        <v>1</v>
      </c>
      <c r="HN20" s="81">
        <v>0</v>
      </c>
      <c r="HO20" s="81">
        <v>0</v>
      </c>
      <c r="HP20" s="81">
        <v>9</v>
      </c>
      <c r="HQ20" s="81">
        <v>0</v>
      </c>
      <c r="HR20" s="81">
        <v>38</v>
      </c>
      <c r="HS20" s="12">
        <v>0</v>
      </c>
      <c r="HT20" s="12">
        <v>0</v>
      </c>
      <c r="HU20" s="12">
        <v>0</v>
      </c>
      <c r="HV20" s="12">
        <v>1</v>
      </c>
      <c r="HW20" s="12">
        <v>0</v>
      </c>
      <c r="HX20" s="12">
        <v>0</v>
      </c>
      <c r="HY20" s="12">
        <v>0</v>
      </c>
      <c r="HZ20" s="12">
        <v>0</v>
      </c>
      <c r="IA20" s="12">
        <v>0</v>
      </c>
      <c r="IB20" s="12">
        <v>1</v>
      </c>
      <c r="IC20" s="12">
        <v>0</v>
      </c>
      <c r="ID20" s="12">
        <v>0</v>
      </c>
      <c r="IE20" s="12">
        <v>0</v>
      </c>
      <c r="IF20" s="12">
        <v>0</v>
      </c>
      <c r="IG20" s="12">
        <v>8</v>
      </c>
      <c r="IH20" s="12">
        <v>0</v>
      </c>
      <c r="II20" s="12">
        <v>2</v>
      </c>
      <c r="IJ20" s="12">
        <v>0</v>
      </c>
      <c r="IK20" s="12">
        <v>0</v>
      </c>
      <c r="IL20" s="12">
        <v>0</v>
      </c>
      <c r="IM20" s="12">
        <v>0</v>
      </c>
      <c r="IN20" s="12">
        <v>0</v>
      </c>
      <c r="IO20" s="12">
        <v>0</v>
      </c>
      <c r="IP20" s="12">
        <v>0</v>
      </c>
      <c r="IQ20" s="12">
        <v>2</v>
      </c>
      <c r="IR20" s="12">
        <v>0</v>
      </c>
      <c r="IS20" s="12">
        <v>0</v>
      </c>
      <c r="IT20" s="12">
        <v>1</v>
      </c>
      <c r="IU20" s="12">
        <v>4</v>
      </c>
      <c r="IV20" s="12">
        <v>1</v>
      </c>
      <c r="IW20" s="12">
        <v>0</v>
      </c>
      <c r="IX20" s="11">
        <v>18900</v>
      </c>
      <c r="IY20" s="11">
        <v>18000</v>
      </c>
      <c r="IZ20" s="11">
        <v>22975</v>
      </c>
      <c r="JA20" s="85" t="s">
        <v>604</v>
      </c>
      <c r="JB20" s="85" t="s">
        <v>602</v>
      </c>
      <c r="JC20" s="85">
        <v>0</v>
      </c>
      <c r="JD20" s="12">
        <v>5</v>
      </c>
      <c r="JE20" s="12">
        <v>5</v>
      </c>
      <c r="JF20" s="12">
        <v>5</v>
      </c>
      <c r="JG20" s="12">
        <v>5</v>
      </c>
      <c r="JH20" s="12">
        <v>5</v>
      </c>
      <c r="JI20" s="12">
        <v>5</v>
      </c>
      <c r="JJ20" s="13" t="s">
        <v>619</v>
      </c>
      <c r="JK20" s="13" t="s">
        <v>620</v>
      </c>
      <c r="JL20" s="13" t="s">
        <v>296</v>
      </c>
      <c r="JM20" s="89"/>
      <c r="JN20" s="89"/>
      <c r="JO20" s="89" t="s">
        <v>296</v>
      </c>
      <c r="JP20" s="89"/>
      <c r="JQ20" s="89"/>
      <c r="JR20" s="89" t="s">
        <v>296</v>
      </c>
      <c r="JS20" s="89" t="s">
        <v>619</v>
      </c>
      <c r="JT20" s="89" t="s">
        <v>619</v>
      </c>
      <c r="JU20" s="89" t="s">
        <v>296</v>
      </c>
      <c r="JV20" s="89"/>
      <c r="JW20" s="89"/>
      <c r="JX20" s="89" t="s">
        <v>297</v>
      </c>
      <c r="JY20" s="12" t="s">
        <v>619</v>
      </c>
      <c r="JZ20" s="12" t="s">
        <v>619</v>
      </c>
      <c r="KA20" s="12" t="s">
        <v>34</v>
      </c>
      <c r="KB20" s="12" t="s">
        <v>34</v>
      </c>
      <c r="KC20" s="12" t="s">
        <v>34</v>
      </c>
      <c r="KD20" s="12" t="s">
        <v>34</v>
      </c>
      <c r="KE20" s="12" t="s">
        <v>34</v>
      </c>
      <c r="KF20" s="12"/>
      <c r="KG20" s="12" t="s">
        <v>34</v>
      </c>
      <c r="KH20" s="12" t="s">
        <v>619</v>
      </c>
      <c r="KI20" s="12" t="s">
        <v>34</v>
      </c>
      <c r="KJ20" s="12" t="s">
        <v>34</v>
      </c>
      <c r="KK20" s="12" t="s">
        <v>34</v>
      </c>
      <c r="KL20" s="12" t="s">
        <v>34</v>
      </c>
      <c r="KM20" s="12" t="s">
        <v>34</v>
      </c>
      <c r="KN20" s="12" t="s">
        <v>34</v>
      </c>
      <c r="KO20" s="12" t="s">
        <v>34</v>
      </c>
      <c r="KP20" s="12" t="s">
        <v>34</v>
      </c>
      <c r="KQ20" s="12" t="s">
        <v>34</v>
      </c>
      <c r="KR20" s="12" t="s">
        <v>34</v>
      </c>
      <c r="KS20" s="12" t="s">
        <v>34</v>
      </c>
      <c r="KT20" s="12" t="s">
        <v>34</v>
      </c>
      <c r="KU20" s="12" t="s">
        <v>34</v>
      </c>
      <c r="KV20" s="12" t="s">
        <v>34</v>
      </c>
      <c r="KW20" s="12" t="s">
        <v>34</v>
      </c>
      <c r="KX20" s="12" t="s">
        <v>34</v>
      </c>
      <c r="KY20" s="12" t="s">
        <v>34</v>
      </c>
      <c r="KZ20" s="12" t="s">
        <v>34</v>
      </c>
      <c r="LA20" s="12" t="s">
        <v>34</v>
      </c>
      <c r="LB20" s="12" t="s">
        <v>34</v>
      </c>
      <c r="LC20" s="12" t="s">
        <v>34</v>
      </c>
      <c r="LD20" s="12" t="s">
        <v>34</v>
      </c>
      <c r="LE20" s="12" t="s">
        <v>34</v>
      </c>
      <c r="LF20" s="12" t="s">
        <v>34</v>
      </c>
      <c r="LG20" s="12" t="s">
        <v>34</v>
      </c>
      <c r="LH20" s="12" t="s">
        <v>619</v>
      </c>
      <c r="LI20" s="12" t="s">
        <v>619</v>
      </c>
      <c r="LJ20" s="12" t="s">
        <v>619</v>
      </c>
      <c r="LK20" s="12" t="s">
        <v>34</v>
      </c>
      <c r="LL20" s="13" t="s">
        <v>34</v>
      </c>
      <c r="LM20" s="13" t="s">
        <v>34</v>
      </c>
      <c r="LN20" s="13" t="s">
        <v>34</v>
      </c>
      <c r="LO20" s="13" t="s">
        <v>34</v>
      </c>
      <c r="LP20" s="90" t="s">
        <v>619</v>
      </c>
      <c r="LQ20" s="13" t="s">
        <v>619</v>
      </c>
      <c r="LR20" s="13" t="s">
        <v>619</v>
      </c>
      <c r="LS20" s="13"/>
      <c r="LT20" s="13" t="s">
        <v>619</v>
      </c>
      <c r="LU20" s="13" t="s">
        <v>34</v>
      </c>
      <c r="LV20" s="13" t="s">
        <v>34</v>
      </c>
      <c r="LW20" s="13" t="s">
        <v>34</v>
      </c>
      <c r="LX20" s="13" t="s">
        <v>619</v>
      </c>
      <c r="LY20" s="13" t="s">
        <v>34</v>
      </c>
      <c r="LZ20" s="13" t="s">
        <v>619</v>
      </c>
      <c r="MA20" s="13" t="s">
        <v>619</v>
      </c>
      <c r="MB20" s="13" t="s">
        <v>619</v>
      </c>
      <c r="MC20" s="13" t="s">
        <v>34</v>
      </c>
      <c r="MD20" s="13" t="s">
        <v>619</v>
      </c>
      <c r="ME20" s="13" t="s">
        <v>34</v>
      </c>
      <c r="MF20" s="13" t="s">
        <v>34</v>
      </c>
      <c r="MG20" s="13" t="s">
        <v>34</v>
      </c>
      <c r="MH20" s="13" t="s">
        <v>34</v>
      </c>
      <c r="MI20" s="13" t="s">
        <v>34</v>
      </c>
      <c r="MJ20" s="13" t="s">
        <v>34</v>
      </c>
      <c r="MK20" s="13" t="s">
        <v>34</v>
      </c>
      <c r="ML20" s="13" t="s">
        <v>619</v>
      </c>
      <c r="MM20" s="13" t="s">
        <v>619</v>
      </c>
      <c r="MN20" s="13" t="s">
        <v>34</v>
      </c>
      <c r="MO20" s="13" t="s">
        <v>619</v>
      </c>
      <c r="MP20" s="13" t="s">
        <v>34</v>
      </c>
      <c r="MQ20" s="13" t="s">
        <v>619</v>
      </c>
      <c r="MR20" s="13" t="s">
        <v>34</v>
      </c>
      <c r="MS20" s="13" t="s">
        <v>34</v>
      </c>
      <c r="MT20" s="13" t="s">
        <v>34</v>
      </c>
      <c r="MU20" s="13" t="s">
        <v>34</v>
      </c>
      <c r="MV20" s="13" t="s">
        <v>34</v>
      </c>
      <c r="MW20" s="13" t="s">
        <v>34</v>
      </c>
      <c r="MX20" s="13" t="s">
        <v>34</v>
      </c>
      <c r="MY20" s="28" t="s">
        <v>296</v>
      </c>
      <c r="MZ20" s="28" t="s">
        <v>297</v>
      </c>
      <c r="NA20" s="28" t="s">
        <v>296</v>
      </c>
      <c r="NB20" s="28" t="s">
        <v>297</v>
      </c>
      <c r="NC20" s="28" t="s">
        <v>296</v>
      </c>
      <c r="ND20" s="28" t="s">
        <v>296</v>
      </c>
      <c r="NE20" s="28" t="s">
        <v>296</v>
      </c>
      <c r="NF20" s="28" t="s">
        <v>296</v>
      </c>
      <c r="NG20" s="28" t="s">
        <v>297</v>
      </c>
      <c r="NH20" s="28" t="s">
        <v>297</v>
      </c>
      <c r="NI20" s="177" t="s">
        <v>296</v>
      </c>
      <c r="NJ20" s="177" t="s">
        <v>297</v>
      </c>
      <c r="NK20" s="177" t="s">
        <v>296</v>
      </c>
      <c r="NL20" s="177" t="s">
        <v>296</v>
      </c>
      <c r="NM20" s="177" t="s">
        <v>296</v>
      </c>
      <c r="NN20" s="177" t="s">
        <v>296</v>
      </c>
      <c r="NO20" s="177" t="s">
        <v>296</v>
      </c>
      <c r="NP20" s="177" t="s">
        <v>296</v>
      </c>
      <c r="NQ20" s="177" t="s">
        <v>296</v>
      </c>
      <c r="NR20" s="12" t="s">
        <v>34</v>
      </c>
      <c r="NS20" s="13" t="s">
        <v>34</v>
      </c>
    </row>
    <row r="21" spans="1:383" x14ac:dyDescent="0.25">
      <c r="A21" s="15" t="s">
        <v>78</v>
      </c>
      <c r="B21" s="16" t="s">
        <v>79</v>
      </c>
      <c r="C21" s="16">
        <v>27</v>
      </c>
      <c r="D21" s="16" t="s">
        <v>80</v>
      </c>
      <c r="E21" s="17">
        <v>69</v>
      </c>
      <c r="F21" s="17">
        <v>67</v>
      </c>
      <c r="G21" s="17">
        <v>70</v>
      </c>
      <c r="H21" s="17">
        <v>71</v>
      </c>
      <c r="I21" s="17">
        <v>59</v>
      </c>
      <c r="J21" s="17">
        <v>347</v>
      </c>
      <c r="K21" s="17">
        <v>363</v>
      </c>
      <c r="L21" s="17">
        <v>266</v>
      </c>
      <c r="M21" s="17">
        <v>192</v>
      </c>
      <c r="N21" s="17">
        <v>122</v>
      </c>
      <c r="O21" s="17">
        <v>4329</v>
      </c>
      <c r="P21" s="17">
        <v>4656</v>
      </c>
      <c r="Q21" s="17">
        <v>4437</v>
      </c>
      <c r="R21" s="17">
        <v>4079</v>
      </c>
      <c r="S21" s="17">
        <v>2787</v>
      </c>
      <c r="T21" s="17">
        <v>1311</v>
      </c>
      <c r="U21" s="17">
        <v>1437</v>
      </c>
      <c r="V21" s="17">
        <v>1356</v>
      </c>
      <c r="W21" s="17">
        <v>1129</v>
      </c>
      <c r="X21" s="17">
        <v>816</v>
      </c>
      <c r="Y21" s="17">
        <v>6.9</v>
      </c>
      <c r="Z21" s="17">
        <v>6.88</v>
      </c>
      <c r="AA21" s="17">
        <v>7.04</v>
      </c>
      <c r="AB21" s="17">
        <v>6.6</v>
      </c>
      <c r="AC21" s="17">
        <v>6.58</v>
      </c>
      <c r="AD21" s="17">
        <v>6.66</v>
      </c>
      <c r="AE21" s="35" t="s">
        <v>258</v>
      </c>
      <c r="AF21" s="35" t="s">
        <v>258</v>
      </c>
      <c r="AG21" s="35" t="s">
        <v>259</v>
      </c>
      <c r="AH21" s="38">
        <v>1</v>
      </c>
      <c r="AI21" s="38">
        <v>1</v>
      </c>
      <c r="AJ21" s="38">
        <v>1</v>
      </c>
      <c r="AK21" s="45" t="s">
        <v>34</v>
      </c>
      <c r="AL21" s="45" t="s">
        <v>34</v>
      </c>
      <c r="AM21" s="45" t="s">
        <v>34</v>
      </c>
      <c r="AN21" s="45" t="s">
        <v>34</v>
      </c>
      <c r="AO21" s="45" t="s">
        <v>34</v>
      </c>
      <c r="AP21" s="45" t="s">
        <v>292</v>
      </c>
      <c r="AQ21" s="53" t="s">
        <v>296</v>
      </c>
      <c r="AR21" s="56">
        <v>59</v>
      </c>
      <c r="AS21" s="57">
        <v>33</v>
      </c>
      <c r="AT21" s="56">
        <v>15</v>
      </c>
      <c r="AU21" s="57">
        <v>12700</v>
      </c>
      <c r="AV21" s="57">
        <v>4535</v>
      </c>
      <c r="AW21" s="57">
        <v>1490</v>
      </c>
      <c r="AX21" s="57">
        <v>0</v>
      </c>
      <c r="AY21" s="57">
        <v>0</v>
      </c>
      <c r="AZ21" s="57">
        <v>0</v>
      </c>
      <c r="BA21" s="57">
        <v>1240</v>
      </c>
      <c r="BB21" s="57">
        <v>4251</v>
      </c>
      <c r="BC21" s="57">
        <v>3154</v>
      </c>
      <c r="BD21" s="57">
        <v>443</v>
      </c>
      <c r="BE21" s="57">
        <v>2643</v>
      </c>
      <c r="BF21" s="57">
        <v>1567</v>
      </c>
      <c r="BG21" s="57">
        <v>17</v>
      </c>
      <c r="BH21" s="57">
        <v>741</v>
      </c>
      <c r="BI21" s="57">
        <v>777</v>
      </c>
      <c r="BJ21" s="57" t="s">
        <v>297</v>
      </c>
      <c r="BK21" s="57">
        <v>8</v>
      </c>
      <c r="BL21" s="57">
        <v>0</v>
      </c>
      <c r="BM21" s="57">
        <v>1</v>
      </c>
      <c r="BN21" s="57">
        <v>138</v>
      </c>
      <c r="BO21" s="57">
        <v>200</v>
      </c>
      <c r="BP21" s="57">
        <v>0</v>
      </c>
      <c r="BQ21" s="76">
        <v>539</v>
      </c>
      <c r="BR21" s="76">
        <v>535</v>
      </c>
      <c r="BS21">
        <v>519</v>
      </c>
      <c r="BT21">
        <v>519</v>
      </c>
      <c r="BU21">
        <v>511</v>
      </c>
      <c r="BV21">
        <v>43285</v>
      </c>
      <c r="BW21">
        <v>42943</v>
      </c>
      <c r="BX21">
        <v>42585</v>
      </c>
      <c r="BY21">
        <v>42011</v>
      </c>
      <c r="BZ21">
        <v>41627</v>
      </c>
      <c r="CA21">
        <v>75</v>
      </c>
      <c r="CB21">
        <v>84</v>
      </c>
      <c r="CC21">
        <v>76</v>
      </c>
      <c r="CD21">
        <v>76</v>
      </c>
      <c r="CE21">
        <v>42</v>
      </c>
      <c r="CF21">
        <v>5640</v>
      </c>
      <c r="CG21">
        <v>6093</v>
      </c>
      <c r="CH21">
        <v>5793</v>
      </c>
      <c r="CI21">
        <v>5208</v>
      </c>
      <c r="CJ21">
        <v>3603</v>
      </c>
      <c r="CK21" s="17">
        <v>38</v>
      </c>
      <c r="CL21" s="17">
        <v>38</v>
      </c>
      <c r="CM21" s="17">
        <v>40</v>
      </c>
      <c r="CN21" s="17">
        <v>18</v>
      </c>
      <c r="CO21" s="17">
        <v>18</v>
      </c>
      <c r="CP21" s="17">
        <v>20</v>
      </c>
      <c r="CQ21" s="17">
        <v>11</v>
      </c>
      <c r="CR21" s="17">
        <v>1</v>
      </c>
      <c r="CS21" s="17">
        <v>1</v>
      </c>
      <c r="CT21" s="17">
        <v>0</v>
      </c>
      <c r="CU21" s="17">
        <v>0</v>
      </c>
      <c r="CV21" s="17">
        <v>7</v>
      </c>
      <c r="CW21" s="17">
        <v>0</v>
      </c>
      <c r="CX21" s="17">
        <v>0</v>
      </c>
      <c r="CY21" s="17">
        <v>0</v>
      </c>
      <c r="CZ21" s="17">
        <v>0</v>
      </c>
      <c r="DA21" s="17">
        <v>0</v>
      </c>
      <c r="DB21" s="17">
        <v>0</v>
      </c>
      <c r="DC21" s="17">
        <v>0</v>
      </c>
      <c r="DD21" s="17">
        <v>0</v>
      </c>
      <c r="DE21" s="17">
        <v>0</v>
      </c>
      <c r="DF21" s="17">
        <v>0</v>
      </c>
      <c r="DG21" s="17">
        <v>0</v>
      </c>
      <c r="DH21" s="17">
        <v>0</v>
      </c>
      <c r="DI21" s="82">
        <v>4</v>
      </c>
      <c r="DJ21" s="82">
        <v>0</v>
      </c>
      <c r="DK21" s="82">
        <v>2</v>
      </c>
      <c r="DL21" s="82">
        <v>0</v>
      </c>
      <c r="DM21" s="82">
        <v>3</v>
      </c>
      <c r="DN21" s="17">
        <v>2</v>
      </c>
      <c r="DO21" s="17">
        <v>0</v>
      </c>
      <c r="DP21" s="17">
        <v>0</v>
      </c>
      <c r="DQ21" s="17">
        <v>0</v>
      </c>
      <c r="DR21" s="17">
        <v>0</v>
      </c>
      <c r="DS21" s="17">
        <v>0</v>
      </c>
      <c r="DT21" s="17">
        <v>0</v>
      </c>
      <c r="DU21" s="17">
        <v>0</v>
      </c>
      <c r="DV21" s="17">
        <v>5</v>
      </c>
      <c r="DW21" s="17">
        <v>0</v>
      </c>
      <c r="DX21" s="17">
        <v>0</v>
      </c>
      <c r="DY21" s="17">
        <v>3</v>
      </c>
      <c r="DZ21" s="17">
        <v>2</v>
      </c>
      <c r="EA21" s="17">
        <v>0</v>
      </c>
      <c r="EB21" s="17">
        <v>3</v>
      </c>
      <c r="EC21" s="17">
        <v>0</v>
      </c>
      <c r="ED21" s="17">
        <v>0</v>
      </c>
      <c r="EE21" s="17">
        <v>3</v>
      </c>
      <c r="EF21" s="17">
        <v>3</v>
      </c>
      <c r="EG21" s="17">
        <v>0</v>
      </c>
      <c r="EH21" s="17">
        <v>0</v>
      </c>
      <c r="EI21" s="17">
        <v>0</v>
      </c>
      <c r="EJ21" s="17">
        <v>0</v>
      </c>
      <c r="EK21" s="17">
        <v>0</v>
      </c>
      <c r="EL21" s="17">
        <v>0</v>
      </c>
      <c r="EM21" s="17">
        <v>4</v>
      </c>
      <c r="EN21" s="17">
        <v>2</v>
      </c>
      <c r="EO21" s="17">
        <v>0</v>
      </c>
      <c r="EP21" s="17">
        <v>0</v>
      </c>
      <c r="EQ21" s="17">
        <v>0</v>
      </c>
      <c r="ER21" s="17">
        <v>0</v>
      </c>
      <c r="ES21" s="17">
        <v>5</v>
      </c>
      <c r="ET21" s="17">
        <v>0</v>
      </c>
      <c r="EU21" s="17">
        <v>0</v>
      </c>
      <c r="EV21" s="17">
        <v>0</v>
      </c>
      <c r="EW21" s="17">
        <v>0</v>
      </c>
      <c r="EX21" s="17">
        <v>1</v>
      </c>
      <c r="EY21" s="17">
        <v>0</v>
      </c>
      <c r="EZ21" s="17">
        <v>0</v>
      </c>
      <c r="FA21" s="17">
        <v>0</v>
      </c>
      <c r="FB21" s="17">
        <v>0</v>
      </c>
      <c r="FC21" s="17">
        <v>0</v>
      </c>
      <c r="FD21" s="17">
        <v>0</v>
      </c>
      <c r="FE21" s="17">
        <v>0</v>
      </c>
      <c r="FF21" s="17">
        <v>0</v>
      </c>
      <c r="FG21" s="17">
        <v>0</v>
      </c>
      <c r="FH21" s="17">
        <v>0</v>
      </c>
      <c r="FI21" s="17">
        <v>0</v>
      </c>
      <c r="FJ21" s="17">
        <v>2</v>
      </c>
      <c r="FK21" s="82">
        <v>1</v>
      </c>
      <c r="FL21" s="82">
        <v>0</v>
      </c>
      <c r="FM21" s="82">
        <v>0</v>
      </c>
      <c r="FN21" s="82">
        <v>0</v>
      </c>
      <c r="FO21" s="82">
        <v>0</v>
      </c>
      <c r="FP21" s="17">
        <v>0</v>
      </c>
      <c r="FQ21" s="17">
        <v>0</v>
      </c>
      <c r="FR21" s="17">
        <v>1</v>
      </c>
      <c r="FS21" s="17">
        <v>0</v>
      </c>
      <c r="FT21" s="17">
        <v>0</v>
      </c>
      <c r="FU21" s="17">
        <v>0</v>
      </c>
      <c r="FV21" s="17">
        <v>0</v>
      </c>
      <c r="FW21" s="17">
        <v>0</v>
      </c>
      <c r="FX21" s="17">
        <v>5</v>
      </c>
      <c r="FY21" s="17">
        <v>5</v>
      </c>
      <c r="FZ21" s="17">
        <v>0</v>
      </c>
      <c r="GA21" s="17">
        <v>1</v>
      </c>
      <c r="GB21" s="17">
        <v>0</v>
      </c>
      <c r="GC21" s="17">
        <v>0</v>
      </c>
      <c r="GD21" s="17">
        <v>1</v>
      </c>
      <c r="GE21" s="17">
        <v>0</v>
      </c>
      <c r="GF21" s="17">
        <v>3</v>
      </c>
      <c r="GG21" s="17">
        <v>7</v>
      </c>
      <c r="GH21" s="17">
        <v>2</v>
      </c>
      <c r="GI21" s="17">
        <v>0</v>
      </c>
      <c r="GJ21" s="17">
        <v>0</v>
      </c>
      <c r="GK21" s="17">
        <v>4</v>
      </c>
      <c r="GL21" s="17">
        <v>5</v>
      </c>
      <c r="GM21" s="17">
        <v>0</v>
      </c>
      <c r="GN21" s="17">
        <v>1</v>
      </c>
      <c r="GO21" s="17">
        <v>1</v>
      </c>
      <c r="GP21" s="17">
        <v>1</v>
      </c>
      <c r="GQ21" s="17">
        <v>0</v>
      </c>
      <c r="GR21" s="17">
        <v>0</v>
      </c>
      <c r="GS21" s="17">
        <v>0</v>
      </c>
      <c r="GT21" s="17">
        <v>0</v>
      </c>
      <c r="GU21" s="17">
        <v>33</v>
      </c>
      <c r="GV21" s="17">
        <v>4</v>
      </c>
      <c r="GW21" s="17">
        <v>3</v>
      </c>
      <c r="GX21" s="17">
        <v>0</v>
      </c>
      <c r="GY21" s="17">
        <v>0</v>
      </c>
      <c r="GZ21" s="17">
        <v>0</v>
      </c>
      <c r="HA21" s="17">
        <v>0</v>
      </c>
      <c r="HB21" s="17">
        <v>1</v>
      </c>
      <c r="HC21" s="17">
        <v>3</v>
      </c>
      <c r="HD21" s="17">
        <v>0</v>
      </c>
      <c r="HE21" s="17">
        <v>0</v>
      </c>
      <c r="HF21" s="17">
        <v>0</v>
      </c>
      <c r="HG21" s="17">
        <v>0</v>
      </c>
      <c r="HH21" s="17">
        <v>0</v>
      </c>
      <c r="HI21" s="17">
        <v>0</v>
      </c>
      <c r="HJ21" s="17">
        <v>0</v>
      </c>
      <c r="HK21" s="17">
        <v>0</v>
      </c>
      <c r="HL21" s="17">
        <v>0</v>
      </c>
      <c r="HM21" s="17">
        <v>7</v>
      </c>
      <c r="HN21" s="82">
        <v>0</v>
      </c>
      <c r="HO21" s="82">
        <v>0</v>
      </c>
      <c r="HP21" s="82">
        <v>0</v>
      </c>
      <c r="HQ21" s="82">
        <v>0</v>
      </c>
      <c r="HR21" s="82">
        <v>0</v>
      </c>
      <c r="HS21" s="17">
        <v>0</v>
      </c>
      <c r="HT21" s="17">
        <v>0</v>
      </c>
      <c r="HU21" s="17">
        <v>0</v>
      </c>
      <c r="HV21" s="17">
        <v>0</v>
      </c>
      <c r="HW21" s="17">
        <v>0</v>
      </c>
      <c r="HX21" s="17">
        <v>0</v>
      </c>
      <c r="HY21" s="17">
        <v>0</v>
      </c>
      <c r="HZ21" s="17">
        <v>0</v>
      </c>
      <c r="IA21" s="17">
        <v>0</v>
      </c>
      <c r="IB21" s="17">
        <v>0</v>
      </c>
      <c r="IC21" s="17">
        <v>1</v>
      </c>
      <c r="ID21" s="17">
        <v>0</v>
      </c>
      <c r="IE21" s="17">
        <v>0</v>
      </c>
      <c r="IF21" s="17">
        <v>0</v>
      </c>
      <c r="IG21" s="17">
        <v>3</v>
      </c>
      <c r="IH21" s="17">
        <v>0</v>
      </c>
      <c r="II21" s="17">
        <v>0</v>
      </c>
      <c r="IJ21" s="17">
        <v>0</v>
      </c>
      <c r="IK21" s="17">
        <v>1</v>
      </c>
      <c r="IL21" s="17">
        <v>0</v>
      </c>
      <c r="IM21" s="17">
        <v>0</v>
      </c>
      <c r="IN21" s="17">
        <v>0</v>
      </c>
      <c r="IO21" s="17">
        <v>0</v>
      </c>
      <c r="IP21" s="17">
        <v>0</v>
      </c>
      <c r="IQ21" s="17">
        <v>1</v>
      </c>
      <c r="IR21" s="17">
        <v>1</v>
      </c>
      <c r="IS21" s="17">
        <v>1</v>
      </c>
      <c r="IT21" s="17">
        <v>0</v>
      </c>
      <c r="IU21" s="17">
        <v>0</v>
      </c>
      <c r="IV21" s="17">
        <v>0</v>
      </c>
      <c r="IW21" s="17">
        <v>0</v>
      </c>
      <c r="IX21" s="17">
        <v>0</v>
      </c>
      <c r="IY21" s="17">
        <v>0</v>
      </c>
      <c r="IZ21" s="17">
        <v>0</v>
      </c>
      <c r="JA21" s="85" t="s">
        <v>604</v>
      </c>
      <c r="JB21" s="85">
        <v>1</v>
      </c>
      <c r="JC21" s="85">
        <v>0</v>
      </c>
      <c r="JD21" s="17">
        <v>10</v>
      </c>
      <c r="JE21" s="17">
        <v>1</v>
      </c>
      <c r="JF21" s="17">
        <v>11</v>
      </c>
      <c r="JG21" s="17">
        <v>1</v>
      </c>
      <c r="JH21" s="17">
        <v>11</v>
      </c>
      <c r="JI21" s="17">
        <v>2</v>
      </c>
      <c r="JJ21" s="17" t="s">
        <v>619</v>
      </c>
      <c r="JK21" s="17" t="s">
        <v>619</v>
      </c>
      <c r="JL21" s="17" t="s">
        <v>296</v>
      </c>
      <c r="JM21" s="89"/>
      <c r="JN21" s="89"/>
      <c r="JO21" s="89" t="s">
        <v>296</v>
      </c>
      <c r="JP21" s="89"/>
      <c r="JQ21" s="89"/>
      <c r="JR21" s="89" t="s">
        <v>296</v>
      </c>
      <c r="JS21" s="89" t="s">
        <v>620</v>
      </c>
      <c r="JT21" s="89" t="s">
        <v>619</v>
      </c>
      <c r="JU21" s="89" t="s">
        <v>297</v>
      </c>
      <c r="JV21" s="89"/>
      <c r="JW21" s="89"/>
      <c r="JX21" s="89" t="s">
        <v>297</v>
      </c>
      <c r="JY21" s="17" t="s">
        <v>34</v>
      </c>
      <c r="JZ21" s="17" t="s">
        <v>34</v>
      </c>
      <c r="KA21" s="17" t="s">
        <v>34</v>
      </c>
      <c r="KB21" s="17" t="s">
        <v>34</v>
      </c>
      <c r="KC21" s="17" t="s">
        <v>34</v>
      </c>
      <c r="KD21" s="17" t="s">
        <v>34</v>
      </c>
      <c r="KE21" s="17" t="s">
        <v>34</v>
      </c>
      <c r="KF21" s="17"/>
      <c r="KG21" s="17" t="s">
        <v>34</v>
      </c>
      <c r="KH21" s="17" t="s">
        <v>34</v>
      </c>
      <c r="KI21" s="17" t="s">
        <v>34</v>
      </c>
      <c r="KJ21" s="17" t="s">
        <v>34</v>
      </c>
      <c r="KK21" s="17" t="s">
        <v>34</v>
      </c>
      <c r="KL21" s="17" t="s">
        <v>34</v>
      </c>
      <c r="KM21" s="17" t="s">
        <v>34</v>
      </c>
      <c r="KN21" s="17" t="s">
        <v>619</v>
      </c>
      <c r="KO21" s="17" t="s">
        <v>619</v>
      </c>
      <c r="KP21" s="17" t="s">
        <v>34</v>
      </c>
      <c r="KQ21" s="17" t="s">
        <v>619</v>
      </c>
      <c r="KR21" s="17" t="s">
        <v>34</v>
      </c>
      <c r="KS21" s="17" t="s">
        <v>34</v>
      </c>
      <c r="KT21" s="17" t="s">
        <v>34</v>
      </c>
      <c r="KU21" s="17" t="s">
        <v>34</v>
      </c>
      <c r="KV21" s="17" t="s">
        <v>34</v>
      </c>
      <c r="KW21" s="17" t="s">
        <v>34</v>
      </c>
      <c r="KX21" s="17" t="s">
        <v>34</v>
      </c>
      <c r="KY21" s="17" t="s">
        <v>34</v>
      </c>
      <c r="KZ21" s="17" t="s">
        <v>34</v>
      </c>
      <c r="LA21" s="17" t="s">
        <v>34</v>
      </c>
      <c r="LB21" s="17" t="s">
        <v>619</v>
      </c>
      <c r="LC21" s="17" t="s">
        <v>34</v>
      </c>
      <c r="LD21" s="17" t="s">
        <v>34</v>
      </c>
      <c r="LE21" s="17" t="s">
        <v>34</v>
      </c>
      <c r="LF21" s="17" t="s">
        <v>34</v>
      </c>
      <c r="LG21" s="17" t="s">
        <v>34</v>
      </c>
      <c r="LH21" s="17" t="s">
        <v>34</v>
      </c>
      <c r="LI21" s="17" t="s">
        <v>34</v>
      </c>
      <c r="LJ21" s="17" t="s">
        <v>34</v>
      </c>
      <c r="LK21" s="17" t="s">
        <v>34</v>
      </c>
      <c r="LL21" s="17" t="s">
        <v>34</v>
      </c>
      <c r="LM21" s="17" t="s">
        <v>34</v>
      </c>
      <c r="LN21" s="17" t="s">
        <v>34</v>
      </c>
      <c r="LO21" s="17" t="s">
        <v>34</v>
      </c>
      <c r="LP21" s="91" t="s">
        <v>34</v>
      </c>
      <c r="LQ21" s="17" t="s">
        <v>34</v>
      </c>
      <c r="LR21" s="17" t="s">
        <v>34</v>
      </c>
      <c r="LS21" s="17"/>
      <c r="LT21" s="17" t="s">
        <v>34</v>
      </c>
      <c r="LU21" s="17" t="s">
        <v>34</v>
      </c>
      <c r="LV21" s="17" t="s">
        <v>34</v>
      </c>
      <c r="LW21" s="17" t="s">
        <v>34</v>
      </c>
      <c r="LX21" s="17" t="s">
        <v>34</v>
      </c>
      <c r="LY21" s="17" t="s">
        <v>34</v>
      </c>
      <c r="LZ21" s="17" t="s">
        <v>34</v>
      </c>
      <c r="MA21" s="17" t="s">
        <v>619</v>
      </c>
      <c r="MB21" s="17" t="s">
        <v>619</v>
      </c>
      <c r="MC21" s="17" t="s">
        <v>34</v>
      </c>
      <c r="MD21" s="17" t="s">
        <v>619</v>
      </c>
      <c r="ME21" s="17" t="s">
        <v>34</v>
      </c>
      <c r="MF21" s="17" t="s">
        <v>34</v>
      </c>
      <c r="MG21" s="17" t="s">
        <v>34</v>
      </c>
      <c r="MH21" s="17" t="s">
        <v>34</v>
      </c>
      <c r="MI21" s="17" t="s">
        <v>34</v>
      </c>
      <c r="MJ21" s="17" t="s">
        <v>34</v>
      </c>
      <c r="MK21" s="17" t="s">
        <v>34</v>
      </c>
      <c r="ML21" s="17" t="s">
        <v>34</v>
      </c>
      <c r="MM21" s="17" t="s">
        <v>34</v>
      </c>
      <c r="MN21" s="17" t="s">
        <v>34</v>
      </c>
      <c r="MO21" s="17" t="s">
        <v>619</v>
      </c>
      <c r="MP21" s="17" t="s">
        <v>34</v>
      </c>
      <c r="MQ21" s="17" t="s">
        <v>34</v>
      </c>
      <c r="MR21" s="17" t="s">
        <v>34</v>
      </c>
      <c r="MS21" s="17" t="s">
        <v>34</v>
      </c>
      <c r="MT21" s="17" t="s">
        <v>34</v>
      </c>
      <c r="MU21" s="17" t="s">
        <v>34</v>
      </c>
      <c r="MV21" s="17" t="s">
        <v>34</v>
      </c>
      <c r="MW21" s="17" t="s">
        <v>34</v>
      </c>
      <c r="MX21" s="17" t="s">
        <v>34</v>
      </c>
      <c r="MY21" s="28" t="s">
        <v>296</v>
      </c>
      <c r="MZ21" s="28" t="s">
        <v>296</v>
      </c>
      <c r="NA21" s="28" t="s">
        <v>296</v>
      </c>
      <c r="NB21" s="28" t="s">
        <v>296</v>
      </c>
      <c r="NC21" s="28" t="s">
        <v>296</v>
      </c>
      <c r="ND21" s="28" t="s">
        <v>296</v>
      </c>
      <c r="NE21" s="28" t="s">
        <v>296</v>
      </c>
      <c r="NF21" s="28" t="s">
        <v>296</v>
      </c>
      <c r="NG21" s="28" t="s">
        <v>297</v>
      </c>
      <c r="NH21" s="28" t="s">
        <v>297</v>
      </c>
      <c r="NI21" s="177" t="s">
        <v>296</v>
      </c>
      <c r="NJ21" s="177" t="s">
        <v>297</v>
      </c>
      <c r="NK21" s="177" t="s">
        <v>296</v>
      </c>
      <c r="NL21" s="177" t="s">
        <v>296</v>
      </c>
      <c r="NM21" s="177" t="s">
        <v>297</v>
      </c>
      <c r="NN21" s="177" t="s">
        <v>296</v>
      </c>
      <c r="NO21" s="177" t="s">
        <v>297</v>
      </c>
      <c r="NP21" s="177" t="s">
        <v>296</v>
      </c>
      <c r="NQ21" s="177" t="s">
        <v>296</v>
      </c>
      <c r="NR21" s="12" t="s">
        <v>34</v>
      </c>
      <c r="NS21" s="13" t="s">
        <v>34</v>
      </c>
    </row>
    <row r="22" spans="1:383" x14ac:dyDescent="0.25">
      <c r="A22" s="15" t="s">
        <v>81</v>
      </c>
      <c r="B22" s="16" t="s">
        <v>82</v>
      </c>
      <c r="C22" s="16">
        <v>53</v>
      </c>
      <c r="D22" s="16" t="s">
        <v>83</v>
      </c>
      <c r="E22" s="17">
        <v>66</v>
      </c>
      <c r="F22" s="17">
        <v>70</v>
      </c>
      <c r="G22" s="17">
        <v>67</v>
      </c>
      <c r="H22" s="17">
        <v>75</v>
      </c>
      <c r="I22" s="17">
        <v>39</v>
      </c>
      <c r="J22" s="17">
        <v>312</v>
      </c>
      <c r="K22" s="17">
        <v>316</v>
      </c>
      <c r="L22" s="17">
        <v>306</v>
      </c>
      <c r="M22" s="17">
        <v>324</v>
      </c>
      <c r="N22" s="17">
        <v>144</v>
      </c>
      <c r="O22" s="17">
        <v>3587</v>
      </c>
      <c r="P22" s="17">
        <v>3936</v>
      </c>
      <c r="Q22" s="17">
        <v>3548</v>
      </c>
      <c r="R22" s="17">
        <v>3783</v>
      </c>
      <c r="S22" s="17">
        <v>1676</v>
      </c>
      <c r="T22" s="17">
        <v>2341</v>
      </c>
      <c r="U22" s="17">
        <v>2361</v>
      </c>
      <c r="V22" s="17">
        <v>2247</v>
      </c>
      <c r="W22" s="17">
        <v>2243</v>
      </c>
      <c r="X22" s="17">
        <v>990</v>
      </c>
      <c r="Y22" s="17">
        <v>5.8</v>
      </c>
      <c r="Z22" s="17">
        <v>6.8</v>
      </c>
      <c r="AA22" s="17">
        <v>6.8</v>
      </c>
      <c r="AB22" s="17">
        <v>5.8</v>
      </c>
      <c r="AC22" s="17">
        <v>6.8</v>
      </c>
      <c r="AD22" s="17">
        <v>6.8</v>
      </c>
      <c r="AE22" s="35" t="s">
        <v>259</v>
      </c>
      <c r="AF22" s="35" t="s">
        <v>259</v>
      </c>
      <c r="AG22" s="35" t="s">
        <v>259</v>
      </c>
      <c r="AH22" s="38">
        <v>1</v>
      </c>
      <c r="AI22" s="38">
        <v>1</v>
      </c>
      <c r="AJ22" s="38">
        <v>1</v>
      </c>
      <c r="AK22" s="45" t="s">
        <v>288</v>
      </c>
      <c r="AL22" s="45" t="s">
        <v>34</v>
      </c>
      <c r="AM22" s="45" t="s">
        <v>34</v>
      </c>
      <c r="AN22" s="45" t="s">
        <v>34</v>
      </c>
      <c r="AO22" s="45" t="s">
        <v>34</v>
      </c>
      <c r="AP22" s="45" t="s">
        <v>292</v>
      </c>
      <c r="AQ22" s="53" t="s">
        <v>296</v>
      </c>
      <c r="AR22" s="56">
        <v>158</v>
      </c>
      <c r="AS22" s="57">
        <v>81</v>
      </c>
      <c r="AT22" s="56">
        <v>47</v>
      </c>
      <c r="AU22" s="57">
        <v>18075</v>
      </c>
      <c r="AV22" s="57">
        <v>8373</v>
      </c>
      <c r="AW22" s="57">
        <v>5043</v>
      </c>
      <c r="AX22" s="57">
        <v>47</v>
      </c>
      <c r="AY22" s="57">
        <v>24</v>
      </c>
      <c r="AZ22" s="57">
        <v>10</v>
      </c>
      <c r="BA22" s="57">
        <v>827</v>
      </c>
      <c r="BB22" s="57">
        <v>1535</v>
      </c>
      <c r="BC22" s="57">
        <v>2634</v>
      </c>
      <c r="BD22" s="57">
        <v>3456</v>
      </c>
      <c r="BE22" s="57">
        <v>2201</v>
      </c>
      <c r="BF22" s="57">
        <v>1865</v>
      </c>
      <c r="BG22" s="57">
        <v>1934</v>
      </c>
      <c r="BH22" s="57">
        <v>1497</v>
      </c>
      <c r="BI22" s="57">
        <v>1612</v>
      </c>
      <c r="BJ22" s="57" t="s">
        <v>297</v>
      </c>
      <c r="BK22" s="57">
        <v>4</v>
      </c>
      <c r="BL22" s="57">
        <v>0</v>
      </c>
      <c r="BM22" s="57">
        <v>0</v>
      </c>
      <c r="BN22" s="57">
        <v>517</v>
      </c>
      <c r="BO22" s="57">
        <v>96</v>
      </c>
      <c r="BP22" s="57">
        <v>456</v>
      </c>
      <c r="BQ22" s="76">
        <v>373</v>
      </c>
      <c r="BR22" s="76">
        <v>365</v>
      </c>
      <c r="BS22">
        <v>353</v>
      </c>
      <c r="BT22">
        <v>353</v>
      </c>
      <c r="BU22">
        <v>353</v>
      </c>
      <c r="BV22">
        <v>39275</v>
      </c>
      <c r="BW22">
        <v>38380</v>
      </c>
      <c r="BX22">
        <v>37508</v>
      </c>
      <c r="BY22">
        <v>36812</v>
      </c>
      <c r="BZ22">
        <v>36311</v>
      </c>
      <c r="CA22">
        <v>68</v>
      </c>
      <c r="CB22">
        <v>69</v>
      </c>
      <c r="CC22">
        <v>73</v>
      </c>
      <c r="CD22">
        <v>75</v>
      </c>
      <c r="CE22">
        <v>39</v>
      </c>
      <c r="CF22">
        <v>5928</v>
      </c>
      <c r="CG22">
        <v>6297</v>
      </c>
      <c r="CH22">
        <v>5795</v>
      </c>
      <c r="CI22">
        <v>6026</v>
      </c>
      <c r="CJ22">
        <v>2666</v>
      </c>
      <c r="CK22" s="17">
        <v>52</v>
      </c>
      <c r="CL22" s="17">
        <v>53</v>
      </c>
      <c r="CM22" s="17">
        <v>53</v>
      </c>
      <c r="CN22" s="17">
        <v>20</v>
      </c>
      <c r="CO22" s="17">
        <v>21</v>
      </c>
      <c r="CP22" s="17">
        <v>21</v>
      </c>
      <c r="CQ22" s="17">
        <v>39</v>
      </c>
      <c r="CR22" s="17">
        <v>7</v>
      </c>
      <c r="CS22" s="17">
        <v>15</v>
      </c>
      <c r="CT22" s="17">
        <v>0</v>
      </c>
      <c r="CU22" s="17">
        <v>0</v>
      </c>
      <c r="CV22" s="17">
        <v>0</v>
      </c>
      <c r="CW22" s="17">
        <v>8</v>
      </c>
      <c r="CX22" s="17">
        <v>6</v>
      </c>
      <c r="CY22" s="17">
        <v>0</v>
      </c>
      <c r="CZ22" s="17">
        <v>0</v>
      </c>
      <c r="DA22" s="17">
        <v>0</v>
      </c>
      <c r="DB22" s="17">
        <v>0</v>
      </c>
      <c r="DC22" s="17">
        <v>0</v>
      </c>
      <c r="DD22" s="17">
        <v>0</v>
      </c>
      <c r="DE22" s="17">
        <v>0</v>
      </c>
      <c r="DF22" s="17">
        <v>12</v>
      </c>
      <c r="DG22" s="17">
        <v>0</v>
      </c>
      <c r="DH22" s="17">
        <v>0</v>
      </c>
      <c r="DI22" s="82">
        <v>0</v>
      </c>
      <c r="DJ22" s="82">
        <v>0</v>
      </c>
      <c r="DK22" s="82">
        <v>8</v>
      </c>
      <c r="DL22" s="82">
        <v>0</v>
      </c>
      <c r="DM22" s="82">
        <v>6</v>
      </c>
      <c r="DN22" s="17">
        <v>0</v>
      </c>
      <c r="DO22" s="17">
        <v>0</v>
      </c>
      <c r="DP22" s="17">
        <v>0</v>
      </c>
      <c r="DQ22" s="17">
        <v>0</v>
      </c>
      <c r="DR22" s="17">
        <v>0</v>
      </c>
      <c r="DS22" s="17">
        <v>0</v>
      </c>
      <c r="DT22" s="17">
        <v>0</v>
      </c>
      <c r="DU22" s="17">
        <v>0</v>
      </c>
      <c r="DV22" s="17">
        <v>21</v>
      </c>
      <c r="DW22" s="17">
        <v>3</v>
      </c>
      <c r="DX22" s="17">
        <v>0</v>
      </c>
      <c r="DY22" s="17">
        <v>11</v>
      </c>
      <c r="DZ22" s="17">
        <v>0</v>
      </c>
      <c r="EA22" s="17">
        <v>0</v>
      </c>
      <c r="EB22" s="17">
        <v>6</v>
      </c>
      <c r="EC22" s="17">
        <v>0</v>
      </c>
      <c r="ED22" s="17">
        <v>0</v>
      </c>
      <c r="EE22" s="17">
        <v>0</v>
      </c>
      <c r="EF22" s="17">
        <v>16</v>
      </c>
      <c r="EG22" s="17">
        <v>0</v>
      </c>
      <c r="EH22" s="17">
        <v>0</v>
      </c>
      <c r="EI22" s="17">
        <v>0</v>
      </c>
      <c r="EJ22" s="17">
        <v>1</v>
      </c>
      <c r="EK22" s="17">
        <v>0</v>
      </c>
      <c r="EL22" s="17">
        <v>3</v>
      </c>
      <c r="EM22" s="17">
        <v>0</v>
      </c>
      <c r="EN22" s="17">
        <v>6</v>
      </c>
      <c r="EO22" s="17">
        <v>0</v>
      </c>
      <c r="EP22" s="17">
        <v>0</v>
      </c>
      <c r="EQ22" s="17">
        <v>0</v>
      </c>
      <c r="ER22" s="17">
        <v>1</v>
      </c>
      <c r="ES22" s="17">
        <v>20</v>
      </c>
      <c r="ET22" s="17">
        <v>8</v>
      </c>
      <c r="EU22" s="17">
        <v>4</v>
      </c>
      <c r="EV22" s="17">
        <v>0</v>
      </c>
      <c r="EW22" s="17">
        <v>0</v>
      </c>
      <c r="EX22" s="17">
        <v>0</v>
      </c>
      <c r="EY22" s="17">
        <v>0</v>
      </c>
      <c r="EZ22" s="17">
        <v>0</v>
      </c>
      <c r="FA22" s="17">
        <v>0</v>
      </c>
      <c r="FB22" s="17">
        <v>0</v>
      </c>
      <c r="FC22" s="17">
        <v>0</v>
      </c>
      <c r="FD22" s="17">
        <v>0</v>
      </c>
      <c r="FE22" s="17">
        <v>0</v>
      </c>
      <c r="FF22" s="17">
        <v>0</v>
      </c>
      <c r="FG22" s="17">
        <v>0</v>
      </c>
      <c r="FH22" s="17">
        <v>6</v>
      </c>
      <c r="FI22" s="17">
        <v>0</v>
      </c>
      <c r="FJ22" s="17">
        <v>0</v>
      </c>
      <c r="FK22" s="82">
        <v>0</v>
      </c>
      <c r="FL22" s="82">
        <v>0</v>
      </c>
      <c r="FM22" s="82">
        <v>12</v>
      </c>
      <c r="FN22" s="82">
        <v>0</v>
      </c>
      <c r="FO22" s="82">
        <v>5</v>
      </c>
      <c r="FP22" s="17">
        <v>0</v>
      </c>
      <c r="FQ22" s="17">
        <v>0</v>
      </c>
      <c r="FR22" s="17">
        <v>0</v>
      </c>
      <c r="FS22" s="17">
        <v>0</v>
      </c>
      <c r="FT22" s="17">
        <v>0</v>
      </c>
      <c r="FU22" s="17">
        <v>0</v>
      </c>
      <c r="FV22" s="17">
        <v>0</v>
      </c>
      <c r="FW22" s="17">
        <v>0</v>
      </c>
      <c r="FX22" s="17">
        <v>4</v>
      </c>
      <c r="FY22" s="17">
        <v>0</v>
      </c>
      <c r="FZ22" s="17">
        <v>0</v>
      </c>
      <c r="GA22" s="17">
        <v>14</v>
      </c>
      <c r="GB22" s="17">
        <v>0</v>
      </c>
      <c r="GC22" s="17">
        <v>0</v>
      </c>
      <c r="GD22" s="17">
        <v>7</v>
      </c>
      <c r="GE22" s="17">
        <v>0</v>
      </c>
      <c r="GF22" s="17">
        <v>1</v>
      </c>
      <c r="GG22" s="17">
        <v>0</v>
      </c>
      <c r="GH22" s="17">
        <v>1</v>
      </c>
      <c r="GI22" s="17">
        <v>0</v>
      </c>
      <c r="GJ22" s="17">
        <v>0</v>
      </c>
      <c r="GK22" s="17">
        <v>0</v>
      </c>
      <c r="GL22" s="17">
        <v>0</v>
      </c>
      <c r="GM22" s="17">
        <v>0</v>
      </c>
      <c r="GN22" s="17">
        <v>0</v>
      </c>
      <c r="GO22" s="17">
        <v>0</v>
      </c>
      <c r="GP22" s="17">
        <v>0</v>
      </c>
      <c r="GQ22" s="17">
        <v>0</v>
      </c>
      <c r="GR22" s="17">
        <v>0</v>
      </c>
      <c r="GS22" s="17">
        <v>0</v>
      </c>
      <c r="GT22" s="17">
        <v>0</v>
      </c>
      <c r="GU22" s="17">
        <v>81</v>
      </c>
      <c r="GV22" s="17">
        <v>18</v>
      </c>
      <c r="GW22" s="17">
        <v>11</v>
      </c>
      <c r="GX22" s="17">
        <v>2</v>
      </c>
      <c r="GY22" s="17">
        <v>0</v>
      </c>
      <c r="GZ22" s="17">
        <v>0</v>
      </c>
      <c r="HA22" s="17">
        <v>1</v>
      </c>
      <c r="HB22" s="17">
        <v>7</v>
      </c>
      <c r="HC22" s="17">
        <v>6</v>
      </c>
      <c r="HD22" s="17">
        <v>0</v>
      </c>
      <c r="HE22" s="17">
        <v>0</v>
      </c>
      <c r="HF22" s="17">
        <v>0</v>
      </c>
      <c r="HG22" s="17">
        <v>0</v>
      </c>
      <c r="HH22" s="17">
        <v>0</v>
      </c>
      <c r="HI22" s="17">
        <v>0</v>
      </c>
      <c r="HJ22" s="17">
        <v>0</v>
      </c>
      <c r="HK22" s="17">
        <v>2</v>
      </c>
      <c r="HL22" s="17">
        <v>0</v>
      </c>
      <c r="HM22" s="17">
        <v>0</v>
      </c>
      <c r="HN22" s="82">
        <v>0</v>
      </c>
      <c r="HO22" s="82">
        <v>0</v>
      </c>
      <c r="HP22" s="82">
        <v>0</v>
      </c>
      <c r="HQ22" s="82">
        <v>0</v>
      </c>
      <c r="HR22" s="82">
        <v>0</v>
      </c>
      <c r="HS22" s="17">
        <v>0</v>
      </c>
      <c r="HT22" s="17">
        <v>0</v>
      </c>
      <c r="HU22" s="17">
        <v>0</v>
      </c>
      <c r="HV22" s="17">
        <v>0</v>
      </c>
      <c r="HW22" s="17">
        <v>0</v>
      </c>
      <c r="HX22" s="17">
        <v>0</v>
      </c>
      <c r="HY22" s="17">
        <v>0</v>
      </c>
      <c r="HZ22" s="17">
        <v>1</v>
      </c>
      <c r="IA22" s="17">
        <v>0</v>
      </c>
      <c r="IB22" s="17">
        <v>1</v>
      </c>
      <c r="IC22" s="17">
        <v>1</v>
      </c>
      <c r="ID22" s="17">
        <v>0</v>
      </c>
      <c r="IE22" s="17">
        <v>0</v>
      </c>
      <c r="IF22" s="17">
        <v>0</v>
      </c>
      <c r="IG22" s="17">
        <v>0</v>
      </c>
      <c r="IH22" s="17">
        <v>0</v>
      </c>
      <c r="II22" s="17">
        <v>0</v>
      </c>
      <c r="IJ22" s="17">
        <v>0</v>
      </c>
      <c r="IK22" s="17">
        <v>0</v>
      </c>
      <c r="IL22" s="17">
        <v>0</v>
      </c>
      <c r="IM22" s="17">
        <v>0</v>
      </c>
      <c r="IN22" s="17">
        <v>0</v>
      </c>
      <c r="IO22" s="17">
        <v>0</v>
      </c>
      <c r="IP22" s="17">
        <v>0</v>
      </c>
      <c r="IQ22" s="17">
        <v>0</v>
      </c>
      <c r="IR22" s="17">
        <v>0</v>
      </c>
      <c r="IS22" s="17">
        <v>0</v>
      </c>
      <c r="IT22" s="17">
        <v>0</v>
      </c>
      <c r="IU22" s="17">
        <v>0</v>
      </c>
      <c r="IV22" s="17">
        <v>0</v>
      </c>
      <c r="IW22" s="17">
        <v>0</v>
      </c>
      <c r="IX22" s="17">
        <v>20000</v>
      </c>
      <c r="IY22" s="17">
        <v>20000</v>
      </c>
      <c r="IZ22" s="17">
        <v>20000</v>
      </c>
      <c r="JA22" s="85">
        <v>1</v>
      </c>
      <c r="JB22" s="85">
        <v>1</v>
      </c>
      <c r="JC22" s="85">
        <v>0</v>
      </c>
      <c r="JD22" s="17">
        <v>10</v>
      </c>
      <c r="JE22" s="17">
        <v>2</v>
      </c>
      <c r="JF22" s="17">
        <v>10</v>
      </c>
      <c r="JG22" s="17">
        <v>3</v>
      </c>
      <c r="JH22" s="17">
        <v>10</v>
      </c>
      <c r="JI22" s="17">
        <v>2</v>
      </c>
      <c r="JJ22" s="17" t="s">
        <v>620</v>
      </c>
      <c r="JK22" s="17" t="s">
        <v>619</v>
      </c>
      <c r="JL22" s="17" t="s">
        <v>297</v>
      </c>
      <c r="JM22" s="89"/>
      <c r="JN22" s="89"/>
      <c r="JO22" s="89" t="s">
        <v>296</v>
      </c>
      <c r="JP22" s="89"/>
      <c r="JQ22" s="89"/>
      <c r="JR22" s="89" t="s">
        <v>296</v>
      </c>
      <c r="JS22" s="89" t="s">
        <v>619</v>
      </c>
      <c r="JT22" s="89" t="s">
        <v>619</v>
      </c>
      <c r="JU22" s="89" t="s">
        <v>296</v>
      </c>
      <c r="JV22" s="89"/>
      <c r="JW22" s="89"/>
      <c r="JX22" s="89" t="s">
        <v>297</v>
      </c>
      <c r="JY22" s="17" t="s">
        <v>34</v>
      </c>
      <c r="JZ22" s="17" t="s">
        <v>34</v>
      </c>
      <c r="KA22" s="17" t="s">
        <v>34</v>
      </c>
      <c r="KB22" s="17" t="s">
        <v>34</v>
      </c>
      <c r="KC22" s="17" t="s">
        <v>34</v>
      </c>
      <c r="KD22" s="17" t="s">
        <v>34</v>
      </c>
      <c r="KE22" s="17" t="s">
        <v>34</v>
      </c>
      <c r="KF22" s="17"/>
      <c r="KG22" s="17" t="s">
        <v>34</v>
      </c>
      <c r="KH22" s="17" t="s">
        <v>34</v>
      </c>
      <c r="KI22" s="17" t="s">
        <v>34</v>
      </c>
      <c r="KJ22" s="17" t="s">
        <v>34</v>
      </c>
      <c r="KK22" s="17" t="s">
        <v>34</v>
      </c>
      <c r="KL22" s="17" t="s">
        <v>34</v>
      </c>
      <c r="KM22" s="17" t="s">
        <v>34</v>
      </c>
      <c r="KN22" s="17" t="s">
        <v>34</v>
      </c>
      <c r="KO22" s="17" t="s">
        <v>34</v>
      </c>
      <c r="KP22" s="17" t="s">
        <v>34</v>
      </c>
      <c r="KQ22" s="17" t="s">
        <v>34</v>
      </c>
      <c r="KR22" s="17" t="s">
        <v>34</v>
      </c>
      <c r="KS22" s="17" t="s">
        <v>34</v>
      </c>
      <c r="KT22" s="17" t="s">
        <v>34</v>
      </c>
      <c r="KU22" s="17" t="s">
        <v>34</v>
      </c>
      <c r="KV22" s="17" t="s">
        <v>34</v>
      </c>
      <c r="KW22" s="17" t="s">
        <v>34</v>
      </c>
      <c r="KX22" s="17" t="s">
        <v>34</v>
      </c>
      <c r="KY22" s="17" t="s">
        <v>34</v>
      </c>
      <c r="KZ22" s="17" t="s">
        <v>34</v>
      </c>
      <c r="LA22" s="17" t="s">
        <v>34</v>
      </c>
      <c r="LB22" s="17" t="s">
        <v>34</v>
      </c>
      <c r="LC22" s="17" t="s">
        <v>34</v>
      </c>
      <c r="LD22" s="17" t="s">
        <v>34</v>
      </c>
      <c r="LE22" s="17" t="s">
        <v>34</v>
      </c>
      <c r="LF22" s="17" t="s">
        <v>34</v>
      </c>
      <c r="LG22" s="17" t="s">
        <v>34</v>
      </c>
      <c r="LH22" s="17" t="s">
        <v>34</v>
      </c>
      <c r="LI22" s="17" t="s">
        <v>34</v>
      </c>
      <c r="LJ22" s="17" t="s">
        <v>34</v>
      </c>
      <c r="LK22" s="17" t="s">
        <v>34</v>
      </c>
      <c r="LL22" s="17" t="s">
        <v>34</v>
      </c>
      <c r="LM22" s="17" t="s">
        <v>34</v>
      </c>
      <c r="LN22" s="17" t="s">
        <v>34</v>
      </c>
      <c r="LO22" s="17" t="s">
        <v>34</v>
      </c>
      <c r="LP22" s="91" t="s">
        <v>34</v>
      </c>
      <c r="LQ22" s="17" t="s">
        <v>34</v>
      </c>
      <c r="LR22" s="17" t="s">
        <v>34</v>
      </c>
      <c r="LS22" s="17"/>
      <c r="LT22" s="17" t="s">
        <v>34</v>
      </c>
      <c r="LU22" s="17" t="s">
        <v>34</v>
      </c>
      <c r="LV22" s="17" t="s">
        <v>34</v>
      </c>
      <c r="LW22" s="17" t="s">
        <v>34</v>
      </c>
      <c r="LX22" s="17" t="s">
        <v>34</v>
      </c>
      <c r="LY22" s="17" t="s">
        <v>34</v>
      </c>
      <c r="LZ22" s="17" t="s">
        <v>34</v>
      </c>
      <c r="MA22" s="17" t="s">
        <v>34</v>
      </c>
      <c r="MB22" s="17" t="s">
        <v>34</v>
      </c>
      <c r="MC22" s="17" t="s">
        <v>34</v>
      </c>
      <c r="MD22" s="17" t="s">
        <v>34</v>
      </c>
      <c r="ME22" s="17" t="s">
        <v>34</v>
      </c>
      <c r="MF22" s="17" t="s">
        <v>34</v>
      </c>
      <c r="MG22" s="17" t="s">
        <v>34</v>
      </c>
      <c r="MH22" s="17" t="s">
        <v>34</v>
      </c>
      <c r="MI22" s="17" t="s">
        <v>34</v>
      </c>
      <c r="MJ22" s="17" t="s">
        <v>34</v>
      </c>
      <c r="MK22" s="17" t="s">
        <v>34</v>
      </c>
      <c r="ML22" s="17" t="s">
        <v>34</v>
      </c>
      <c r="MM22" s="17" t="s">
        <v>34</v>
      </c>
      <c r="MN22" s="17" t="s">
        <v>34</v>
      </c>
      <c r="MO22" s="17" t="s">
        <v>34</v>
      </c>
      <c r="MP22" s="17" t="s">
        <v>34</v>
      </c>
      <c r="MQ22" s="17" t="s">
        <v>34</v>
      </c>
      <c r="MR22" s="17" t="s">
        <v>34</v>
      </c>
      <c r="MS22" s="17" t="s">
        <v>34</v>
      </c>
      <c r="MT22" s="17" t="s">
        <v>34</v>
      </c>
      <c r="MU22" s="17" t="s">
        <v>34</v>
      </c>
      <c r="MV22" s="17" t="s">
        <v>34</v>
      </c>
      <c r="MW22" s="17" t="s">
        <v>34</v>
      </c>
      <c r="MX22" s="17" t="s">
        <v>34</v>
      </c>
      <c r="MY22" s="28" t="s">
        <v>296</v>
      </c>
      <c r="MZ22" s="28" t="s">
        <v>296</v>
      </c>
      <c r="NA22" s="28" t="s">
        <v>296</v>
      </c>
      <c r="NB22" s="28" t="s">
        <v>296</v>
      </c>
      <c r="NC22" s="28" t="s">
        <v>296</v>
      </c>
      <c r="ND22" s="28" t="s">
        <v>297</v>
      </c>
      <c r="NE22" s="28" t="s">
        <v>296</v>
      </c>
      <c r="NF22" s="28" t="s">
        <v>297</v>
      </c>
      <c r="NG22" s="28" t="s">
        <v>297</v>
      </c>
      <c r="NH22" s="28" t="s">
        <v>296</v>
      </c>
      <c r="NI22" s="177" t="s">
        <v>296</v>
      </c>
      <c r="NJ22" s="177" t="s">
        <v>297</v>
      </c>
      <c r="NK22" s="177" t="s">
        <v>296</v>
      </c>
      <c r="NL22" s="177" t="s">
        <v>296</v>
      </c>
      <c r="NM22" s="177" t="s">
        <v>296</v>
      </c>
      <c r="NN22" s="177" t="s">
        <v>296</v>
      </c>
      <c r="NO22" s="177" t="s">
        <v>296</v>
      </c>
      <c r="NP22" s="177" t="s">
        <v>297</v>
      </c>
      <c r="NQ22" s="177" t="s">
        <v>296</v>
      </c>
      <c r="NR22" s="12" t="s">
        <v>34</v>
      </c>
      <c r="NS22" s="13" t="s">
        <v>34</v>
      </c>
    </row>
    <row r="23" spans="1:383" x14ac:dyDescent="0.25">
      <c r="A23" s="8" t="s">
        <v>84</v>
      </c>
      <c r="B23" s="9" t="s">
        <v>85</v>
      </c>
      <c r="C23" s="9">
        <v>75</v>
      </c>
      <c r="D23" s="9" t="s">
        <v>70</v>
      </c>
      <c r="E23" s="10">
        <v>55</v>
      </c>
      <c r="F23" s="10">
        <v>52</v>
      </c>
      <c r="G23" s="10">
        <v>53</v>
      </c>
      <c r="H23" s="10">
        <v>54</v>
      </c>
      <c r="I23" s="10">
        <v>45</v>
      </c>
      <c r="J23" s="11">
        <v>211</v>
      </c>
      <c r="K23" s="11">
        <v>212</v>
      </c>
      <c r="L23" s="11">
        <v>178</v>
      </c>
      <c r="M23" s="11">
        <v>214</v>
      </c>
      <c r="N23" s="11">
        <v>195</v>
      </c>
      <c r="O23" s="13">
        <v>2276</v>
      </c>
      <c r="P23" s="13">
        <v>2184</v>
      </c>
      <c r="Q23" s="13">
        <v>2057</v>
      </c>
      <c r="R23" s="13">
        <v>2147</v>
      </c>
      <c r="S23" s="13">
        <v>1882</v>
      </c>
      <c r="T23" s="12">
        <v>682</v>
      </c>
      <c r="U23" s="12">
        <v>670</v>
      </c>
      <c r="V23" s="12">
        <v>617</v>
      </c>
      <c r="W23" s="12">
        <v>563</v>
      </c>
      <c r="X23" s="12">
        <v>580</v>
      </c>
      <c r="Y23" s="12">
        <v>5</v>
      </c>
      <c r="Z23" s="12">
        <v>5</v>
      </c>
      <c r="AA23" s="12">
        <v>5</v>
      </c>
      <c r="AB23" s="13">
        <v>4.5</v>
      </c>
      <c r="AC23" s="13">
        <v>4.5</v>
      </c>
      <c r="AD23" s="13">
        <v>4.5</v>
      </c>
      <c r="AE23" s="35" t="s">
        <v>259</v>
      </c>
      <c r="AF23" s="35" t="s">
        <v>259</v>
      </c>
      <c r="AG23" s="35" t="s">
        <v>259</v>
      </c>
      <c r="AH23" s="38">
        <v>1</v>
      </c>
      <c r="AI23" s="38">
        <v>1</v>
      </c>
      <c r="AJ23" s="38">
        <v>1</v>
      </c>
      <c r="AK23" s="45" t="s">
        <v>34</v>
      </c>
      <c r="AL23" s="45" t="s">
        <v>34</v>
      </c>
      <c r="AM23" s="45" t="s">
        <v>34</v>
      </c>
      <c r="AN23" s="45" t="s">
        <v>34</v>
      </c>
      <c r="AO23" s="45" t="s">
        <v>34</v>
      </c>
      <c r="AP23" s="45" t="s">
        <v>292</v>
      </c>
      <c r="AQ23" s="53" t="s">
        <v>296</v>
      </c>
      <c r="AR23" s="56">
        <v>130</v>
      </c>
      <c r="AS23" s="57">
        <v>47</v>
      </c>
      <c r="AT23" s="56">
        <v>145</v>
      </c>
      <c r="AU23" s="57">
        <v>11288</v>
      </c>
      <c r="AV23" s="57">
        <v>3722</v>
      </c>
      <c r="AW23" s="57">
        <v>7157</v>
      </c>
      <c r="AX23" s="57">
        <v>10</v>
      </c>
      <c r="AY23" s="57">
        <v>7</v>
      </c>
      <c r="AZ23" s="57">
        <v>1</v>
      </c>
      <c r="BA23" s="57">
        <v>2080</v>
      </c>
      <c r="BB23" s="57">
        <v>7032</v>
      </c>
      <c r="BC23" s="57">
        <v>3905</v>
      </c>
      <c r="BD23" s="57">
        <v>0</v>
      </c>
      <c r="BE23" s="57">
        <v>363</v>
      </c>
      <c r="BF23" s="57">
        <v>0</v>
      </c>
      <c r="BG23" s="57">
        <v>0</v>
      </c>
      <c r="BH23" s="57">
        <v>0</v>
      </c>
      <c r="BI23" s="57">
        <v>0</v>
      </c>
      <c r="BJ23" s="57" t="s">
        <v>297</v>
      </c>
      <c r="BK23" s="57">
        <v>9</v>
      </c>
      <c r="BL23" s="57">
        <v>0</v>
      </c>
      <c r="BM23" s="57">
        <v>0</v>
      </c>
      <c r="BN23" s="57">
        <v>312</v>
      </c>
      <c r="BO23" s="57">
        <v>550</v>
      </c>
      <c r="BP23" s="57">
        <v>219</v>
      </c>
      <c r="BQ23" s="76">
        <v>153</v>
      </c>
      <c r="BR23" s="76">
        <v>153</v>
      </c>
      <c r="BS23">
        <v>151</v>
      </c>
      <c r="BT23">
        <v>151</v>
      </c>
      <c r="BU23">
        <v>151</v>
      </c>
      <c r="BV23">
        <v>8262</v>
      </c>
      <c r="BW23">
        <v>8062</v>
      </c>
      <c r="BX23">
        <v>7856</v>
      </c>
      <c r="BY23">
        <v>7722</v>
      </c>
      <c r="BZ23">
        <v>7488</v>
      </c>
      <c r="CA23">
        <v>55</v>
      </c>
      <c r="CB23">
        <v>52</v>
      </c>
      <c r="CC23">
        <v>58</v>
      </c>
      <c r="CD23">
        <v>59</v>
      </c>
      <c r="CE23">
        <v>47</v>
      </c>
      <c r="CF23">
        <v>2958</v>
      </c>
      <c r="CG23">
        <v>2854</v>
      </c>
      <c r="CH23">
        <v>2674</v>
      </c>
      <c r="CI23">
        <v>2710</v>
      </c>
      <c r="CJ23">
        <v>2462</v>
      </c>
      <c r="CK23" s="10">
        <v>31</v>
      </c>
      <c r="CL23" s="10">
        <v>31</v>
      </c>
      <c r="CM23" s="10">
        <v>31.1</v>
      </c>
      <c r="CN23" s="11">
        <v>18</v>
      </c>
      <c r="CO23" s="11">
        <v>18</v>
      </c>
      <c r="CP23" s="11">
        <v>18</v>
      </c>
      <c r="CQ23" s="13">
        <v>26</v>
      </c>
      <c r="CR23" s="13">
        <v>10</v>
      </c>
      <c r="CS23" s="13">
        <v>1</v>
      </c>
      <c r="CT23" s="10">
        <v>0</v>
      </c>
      <c r="CU23" s="10">
        <v>0</v>
      </c>
      <c r="CV23" s="10">
        <v>29</v>
      </c>
      <c r="CW23" s="10">
        <v>6</v>
      </c>
      <c r="CX23" s="10">
        <v>9</v>
      </c>
      <c r="CY23" s="10">
        <v>0</v>
      </c>
      <c r="CZ23" s="10">
        <v>0</v>
      </c>
      <c r="DA23" s="10">
        <v>0</v>
      </c>
      <c r="DB23" s="10">
        <v>3</v>
      </c>
      <c r="DC23" s="10">
        <v>0</v>
      </c>
      <c r="DD23" s="10">
        <v>0</v>
      </c>
      <c r="DE23" s="10">
        <v>0</v>
      </c>
      <c r="DF23" s="10">
        <v>1</v>
      </c>
      <c r="DG23" s="10">
        <v>0</v>
      </c>
      <c r="DH23" s="10">
        <v>2</v>
      </c>
      <c r="DI23" s="81">
        <v>1</v>
      </c>
      <c r="DJ23" s="81">
        <v>1</v>
      </c>
      <c r="DK23" s="81">
        <v>0</v>
      </c>
      <c r="DL23" s="81">
        <v>0</v>
      </c>
      <c r="DM23" s="81">
        <v>10</v>
      </c>
      <c r="DN23" s="12">
        <v>1</v>
      </c>
      <c r="DO23" s="12">
        <v>13</v>
      </c>
      <c r="DP23" s="12">
        <v>4</v>
      </c>
      <c r="DQ23" s="12">
        <v>0</v>
      </c>
      <c r="DR23" s="12">
        <v>0</v>
      </c>
      <c r="DS23" s="12">
        <v>2</v>
      </c>
      <c r="DT23" s="12">
        <v>0</v>
      </c>
      <c r="DU23" s="12">
        <v>0</v>
      </c>
      <c r="DV23" s="12">
        <v>4</v>
      </c>
      <c r="DW23" s="12">
        <v>2</v>
      </c>
      <c r="DX23" s="12">
        <v>1</v>
      </c>
      <c r="DY23" s="12">
        <v>3</v>
      </c>
      <c r="DZ23" s="12">
        <v>14</v>
      </c>
      <c r="EA23" s="12">
        <v>0</v>
      </c>
      <c r="EB23" s="12">
        <v>1</v>
      </c>
      <c r="EC23" s="12">
        <v>1</v>
      </c>
      <c r="ED23" s="12">
        <v>2</v>
      </c>
      <c r="EE23" s="12">
        <v>3</v>
      </c>
      <c r="EF23" s="12">
        <v>12</v>
      </c>
      <c r="EG23" s="12">
        <v>0</v>
      </c>
      <c r="EH23" s="12">
        <v>0</v>
      </c>
      <c r="EI23" s="12">
        <v>0</v>
      </c>
      <c r="EJ23" s="12">
        <v>0</v>
      </c>
      <c r="EK23" s="12">
        <v>0</v>
      </c>
      <c r="EL23" s="12">
        <v>16</v>
      </c>
      <c r="EM23" s="12">
        <v>13</v>
      </c>
      <c r="EN23" s="12">
        <v>0</v>
      </c>
      <c r="EO23" s="12">
        <v>1</v>
      </c>
      <c r="EP23" s="12">
        <v>1</v>
      </c>
      <c r="EQ23" s="12">
        <v>10</v>
      </c>
      <c r="ER23" s="12">
        <v>1</v>
      </c>
      <c r="ES23" s="13">
        <v>1</v>
      </c>
      <c r="ET23" s="13">
        <v>8</v>
      </c>
      <c r="EU23" s="13">
        <v>1</v>
      </c>
      <c r="EV23" s="10">
        <v>0</v>
      </c>
      <c r="EW23" s="10">
        <v>0</v>
      </c>
      <c r="EX23" s="10">
        <v>1</v>
      </c>
      <c r="EY23" s="10">
        <v>0</v>
      </c>
      <c r="EZ23" s="10">
        <v>1</v>
      </c>
      <c r="FA23" s="10">
        <v>0</v>
      </c>
      <c r="FB23" s="10">
        <v>0</v>
      </c>
      <c r="FC23" s="10">
        <v>0</v>
      </c>
      <c r="FD23" s="10">
        <v>3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81">
        <v>0</v>
      </c>
      <c r="FL23" s="81">
        <v>0</v>
      </c>
      <c r="FM23" s="81">
        <v>0</v>
      </c>
      <c r="FN23" s="81">
        <v>0</v>
      </c>
      <c r="FO23" s="81">
        <v>1</v>
      </c>
      <c r="FP23" s="12">
        <v>3</v>
      </c>
      <c r="FQ23" s="12">
        <v>5</v>
      </c>
      <c r="FR23" s="12">
        <v>0</v>
      </c>
      <c r="FS23" s="12">
        <v>0</v>
      </c>
      <c r="FT23" s="12">
        <v>0</v>
      </c>
      <c r="FU23" s="12">
        <v>0</v>
      </c>
      <c r="FV23" s="12">
        <v>0</v>
      </c>
      <c r="FW23" s="12">
        <v>0</v>
      </c>
      <c r="FX23" s="12">
        <v>3</v>
      </c>
      <c r="FY23" s="12">
        <v>1</v>
      </c>
      <c r="FZ23" s="12">
        <v>1</v>
      </c>
      <c r="GA23" s="12">
        <v>0</v>
      </c>
      <c r="GB23" s="12">
        <v>6</v>
      </c>
      <c r="GC23" s="12">
        <v>0</v>
      </c>
      <c r="GD23" s="12">
        <v>0</v>
      </c>
      <c r="GE23" s="12">
        <v>0</v>
      </c>
      <c r="GF23" s="12">
        <v>2</v>
      </c>
      <c r="GG23" s="12">
        <v>0</v>
      </c>
      <c r="GH23" s="12">
        <v>1</v>
      </c>
      <c r="GI23" s="12">
        <v>0</v>
      </c>
      <c r="GJ23" s="12">
        <v>0</v>
      </c>
      <c r="GK23" s="12">
        <v>0</v>
      </c>
      <c r="GL23" s="12">
        <v>3</v>
      </c>
      <c r="GM23" s="12">
        <v>0</v>
      </c>
      <c r="GN23" s="12">
        <v>5</v>
      </c>
      <c r="GO23" s="12">
        <v>6</v>
      </c>
      <c r="GP23" s="12">
        <v>0</v>
      </c>
      <c r="GQ23" s="12">
        <v>0</v>
      </c>
      <c r="GR23" s="12">
        <v>0</v>
      </c>
      <c r="GS23" s="12">
        <v>5</v>
      </c>
      <c r="GT23" s="12">
        <v>1</v>
      </c>
      <c r="GU23" s="13">
        <v>47</v>
      </c>
      <c r="GV23" s="13">
        <v>1</v>
      </c>
      <c r="GW23" s="13">
        <v>1</v>
      </c>
      <c r="GX23" s="13">
        <v>0</v>
      </c>
      <c r="GY23" s="10">
        <v>0</v>
      </c>
      <c r="GZ23" s="10">
        <v>0</v>
      </c>
      <c r="HA23" s="10">
        <v>1</v>
      </c>
      <c r="HB23" s="10">
        <v>6</v>
      </c>
      <c r="HC23" s="10">
        <v>0</v>
      </c>
      <c r="HD23" s="10">
        <v>0</v>
      </c>
      <c r="HE23" s="10">
        <v>0</v>
      </c>
      <c r="HF23" s="10">
        <v>0</v>
      </c>
      <c r="HG23" s="10">
        <v>4</v>
      </c>
      <c r="HH23" s="10">
        <v>0</v>
      </c>
      <c r="HI23" s="10">
        <v>0</v>
      </c>
      <c r="HJ23" s="10">
        <v>0</v>
      </c>
      <c r="HK23" s="10">
        <v>0</v>
      </c>
      <c r="HL23" s="10">
        <v>0</v>
      </c>
      <c r="HM23" s="10">
        <v>0</v>
      </c>
      <c r="HN23" s="81">
        <v>0</v>
      </c>
      <c r="HO23" s="81">
        <v>0</v>
      </c>
      <c r="HP23" s="81">
        <v>0</v>
      </c>
      <c r="HQ23" s="81">
        <v>0</v>
      </c>
      <c r="HR23" s="81">
        <v>13</v>
      </c>
      <c r="HS23" s="12">
        <v>0</v>
      </c>
      <c r="HT23" s="12">
        <v>3</v>
      </c>
      <c r="HU23" s="12">
        <v>0</v>
      </c>
      <c r="HV23" s="12">
        <v>0</v>
      </c>
      <c r="HW23" s="12">
        <v>0</v>
      </c>
      <c r="HX23" s="12">
        <v>0</v>
      </c>
      <c r="HY23" s="12">
        <v>0</v>
      </c>
      <c r="HZ23" s="12">
        <v>0</v>
      </c>
      <c r="IA23" s="12">
        <v>0</v>
      </c>
      <c r="IB23" s="12">
        <v>0</v>
      </c>
      <c r="IC23" s="12">
        <v>2</v>
      </c>
      <c r="ID23" s="12">
        <v>0</v>
      </c>
      <c r="IE23" s="12">
        <v>2</v>
      </c>
      <c r="IF23" s="12">
        <v>0</v>
      </c>
      <c r="IG23" s="12">
        <v>0</v>
      </c>
      <c r="IH23" s="12">
        <v>0</v>
      </c>
      <c r="II23" s="12">
        <v>1</v>
      </c>
      <c r="IJ23" s="12">
        <v>0</v>
      </c>
      <c r="IK23" s="12">
        <v>0</v>
      </c>
      <c r="IL23" s="12">
        <v>0</v>
      </c>
      <c r="IM23" s="12">
        <v>0</v>
      </c>
      <c r="IN23" s="12">
        <v>0</v>
      </c>
      <c r="IO23" s="12">
        <v>4</v>
      </c>
      <c r="IP23" s="12">
        <v>0</v>
      </c>
      <c r="IQ23" s="12">
        <v>0</v>
      </c>
      <c r="IR23" s="12">
        <v>2</v>
      </c>
      <c r="IS23" s="12">
        <v>0</v>
      </c>
      <c r="IT23" s="12">
        <v>0</v>
      </c>
      <c r="IU23" s="12">
        <v>0</v>
      </c>
      <c r="IV23" s="12">
        <v>4</v>
      </c>
      <c r="IW23" s="12">
        <v>0</v>
      </c>
      <c r="IX23" s="11">
        <v>2000</v>
      </c>
      <c r="IY23" s="11">
        <v>3000</v>
      </c>
      <c r="IZ23" s="11">
        <v>3000</v>
      </c>
      <c r="JA23" s="85">
        <v>1</v>
      </c>
      <c r="JB23" s="85">
        <v>0</v>
      </c>
      <c r="JC23" s="85">
        <v>0</v>
      </c>
      <c r="JD23" s="12">
        <v>3</v>
      </c>
      <c r="JE23" s="12">
        <v>2</v>
      </c>
      <c r="JF23" s="12">
        <v>3</v>
      </c>
      <c r="JG23" s="12">
        <v>2</v>
      </c>
      <c r="JH23" s="12">
        <v>3</v>
      </c>
      <c r="JI23" s="12">
        <v>0</v>
      </c>
      <c r="JJ23" s="13" t="s">
        <v>619</v>
      </c>
      <c r="JK23" s="13" t="s">
        <v>620</v>
      </c>
      <c r="JL23" s="13" t="s">
        <v>297</v>
      </c>
      <c r="JM23" s="89"/>
      <c r="JN23" s="89"/>
      <c r="JO23" s="89" t="s">
        <v>296</v>
      </c>
      <c r="JP23" s="89"/>
      <c r="JQ23" s="89"/>
      <c r="JR23" s="89" t="s">
        <v>296</v>
      </c>
      <c r="JS23" s="89" t="s">
        <v>619</v>
      </c>
      <c r="JT23" s="89" t="s">
        <v>619</v>
      </c>
      <c r="JU23" s="89" t="s">
        <v>296</v>
      </c>
      <c r="JV23" s="89"/>
      <c r="JW23" s="89"/>
      <c r="JX23" s="89" t="s">
        <v>297</v>
      </c>
      <c r="JY23" s="12" t="s">
        <v>619</v>
      </c>
      <c r="JZ23" s="12" t="s">
        <v>34</v>
      </c>
      <c r="KA23" s="12" t="s">
        <v>34</v>
      </c>
      <c r="KB23" s="12" t="s">
        <v>34</v>
      </c>
      <c r="KC23" s="12" t="s">
        <v>619</v>
      </c>
      <c r="KD23" s="12" t="s">
        <v>34</v>
      </c>
      <c r="KE23" s="12" t="s">
        <v>34</v>
      </c>
      <c r="KF23" s="12"/>
      <c r="KG23" s="12" t="s">
        <v>34</v>
      </c>
      <c r="KH23" s="12" t="s">
        <v>34</v>
      </c>
      <c r="KI23" s="12" t="s">
        <v>34</v>
      </c>
      <c r="KJ23" s="12" t="s">
        <v>34</v>
      </c>
      <c r="KK23" s="12" t="s">
        <v>34</v>
      </c>
      <c r="KL23" s="12" t="s">
        <v>34</v>
      </c>
      <c r="KM23" s="12" t="s">
        <v>34</v>
      </c>
      <c r="KN23" s="12" t="s">
        <v>619</v>
      </c>
      <c r="KO23" s="12" t="s">
        <v>34</v>
      </c>
      <c r="KP23" s="12" t="s">
        <v>34</v>
      </c>
      <c r="KQ23" s="12" t="s">
        <v>34</v>
      </c>
      <c r="KR23" s="12" t="s">
        <v>34</v>
      </c>
      <c r="KS23" s="12" t="s">
        <v>34</v>
      </c>
      <c r="KT23" s="12" t="s">
        <v>34</v>
      </c>
      <c r="KU23" s="12" t="s">
        <v>34</v>
      </c>
      <c r="KV23" s="12" t="s">
        <v>34</v>
      </c>
      <c r="KW23" s="12" t="s">
        <v>34</v>
      </c>
      <c r="KX23" s="12" t="s">
        <v>34</v>
      </c>
      <c r="KY23" s="12" t="s">
        <v>34</v>
      </c>
      <c r="KZ23" s="12" t="s">
        <v>34</v>
      </c>
      <c r="LA23" s="12" t="s">
        <v>34</v>
      </c>
      <c r="LB23" s="12" t="s">
        <v>619</v>
      </c>
      <c r="LC23" s="12" t="s">
        <v>34</v>
      </c>
      <c r="LD23" s="12" t="s">
        <v>34</v>
      </c>
      <c r="LE23" s="12" t="s">
        <v>34</v>
      </c>
      <c r="LF23" s="12" t="s">
        <v>34</v>
      </c>
      <c r="LG23" s="12" t="s">
        <v>34</v>
      </c>
      <c r="LH23" s="12" t="s">
        <v>34</v>
      </c>
      <c r="LI23" s="12" t="s">
        <v>34</v>
      </c>
      <c r="LJ23" s="12" t="s">
        <v>619</v>
      </c>
      <c r="LK23" s="12" t="s">
        <v>34</v>
      </c>
      <c r="LL23" s="13" t="s">
        <v>34</v>
      </c>
      <c r="LM23" s="13" t="s">
        <v>34</v>
      </c>
      <c r="LN23" s="13" t="s">
        <v>34</v>
      </c>
      <c r="LO23" s="13" t="s">
        <v>34</v>
      </c>
      <c r="LP23" s="90" t="s">
        <v>34</v>
      </c>
      <c r="LQ23" s="13" t="s">
        <v>34</v>
      </c>
      <c r="LR23" s="13" t="s">
        <v>34</v>
      </c>
      <c r="LS23" s="13"/>
      <c r="LT23" s="13" t="s">
        <v>34</v>
      </c>
      <c r="LU23" s="13" t="s">
        <v>34</v>
      </c>
      <c r="LV23" s="13" t="s">
        <v>34</v>
      </c>
      <c r="LW23" s="13" t="s">
        <v>34</v>
      </c>
      <c r="LX23" s="13" t="s">
        <v>34</v>
      </c>
      <c r="LY23" s="13" t="s">
        <v>34</v>
      </c>
      <c r="LZ23" s="13" t="s">
        <v>34</v>
      </c>
      <c r="MA23" s="13" t="s">
        <v>619</v>
      </c>
      <c r="MB23" s="13" t="s">
        <v>34</v>
      </c>
      <c r="MC23" s="13" t="s">
        <v>34</v>
      </c>
      <c r="MD23" s="13" t="s">
        <v>619</v>
      </c>
      <c r="ME23" s="13" t="s">
        <v>34</v>
      </c>
      <c r="MF23" s="13" t="s">
        <v>34</v>
      </c>
      <c r="MG23" s="13" t="s">
        <v>34</v>
      </c>
      <c r="MH23" s="13" t="s">
        <v>34</v>
      </c>
      <c r="MI23" s="13" t="s">
        <v>34</v>
      </c>
      <c r="MJ23" s="13" t="s">
        <v>34</v>
      </c>
      <c r="MK23" s="13" t="s">
        <v>34</v>
      </c>
      <c r="ML23" s="13" t="s">
        <v>34</v>
      </c>
      <c r="MM23" s="13" t="s">
        <v>34</v>
      </c>
      <c r="MN23" s="13" t="s">
        <v>34</v>
      </c>
      <c r="MO23" s="13" t="s">
        <v>619</v>
      </c>
      <c r="MP23" s="13" t="s">
        <v>34</v>
      </c>
      <c r="MQ23" s="13" t="s">
        <v>34</v>
      </c>
      <c r="MR23" s="13" t="s">
        <v>34</v>
      </c>
      <c r="MS23" s="13" t="s">
        <v>34</v>
      </c>
      <c r="MT23" s="13" t="s">
        <v>34</v>
      </c>
      <c r="MU23" s="13" t="s">
        <v>34</v>
      </c>
      <c r="MV23" s="13" t="s">
        <v>34</v>
      </c>
      <c r="MW23" s="13" t="s">
        <v>34</v>
      </c>
      <c r="MX23" s="13" t="s">
        <v>34</v>
      </c>
      <c r="MY23" s="28" t="s">
        <v>296</v>
      </c>
      <c r="MZ23" s="28" t="s">
        <v>297</v>
      </c>
      <c r="NA23" s="28" t="s">
        <v>296</v>
      </c>
      <c r="NB23" s="28" t="s">
        <v>296</v>
      </c>
      <c r="NC23" s="28" t="s">
        <v>296</v>
      </c>
      <c r="ND23" s="28" t="s">
        <v>296</v>
      </c>
      <c r="NE23" s="28" t="s">
        <v>296</v>
      </c>
      <c r="NF23" s="28" t="s">
        <v>296</v>
      </c>
      <c r="NG23" s="28" t="s">
        <v>297</v>
      </c>
      <c r="NH23" s="28" t="s">
        <v>297</v>
      </c>
      <c r="NI23" s="177" t="s">
        <v>296</v>
      </c>
      <c r="NJ23" s="177" t="s">
        <v>297</v>
      </c>
      <c r="NK23" s="177" t="s">
        <v>296</v>
      </c>
      <c r="NL23" s="177" t="s">
        <v>297</v>
      </c>
      <c r="NM23" s="177" t="s">
        <v>296</v>
      </c>
      <c r="NN23" s="177" t="s">
        <v>296</v>
      </c>
      <c r="NO23" s="177" t="s">
        <v>296</v>
      </c>
      <c r="NP23" s="177" t="s">
        <v>297</v>
      </c>
      <c r="NQ23" s="177" t="s">
        <v>296</v>
      </c>
      <c r="NR23" s="12" t="s">
        <v>34</v>
      </c>
      <c r="NS23" s="13" t="s">
        <v>34</v>
      </c>
    </row>
    <row r="24" spans="1:383" x14ac:dyDescent="0.25">
      <c r="A24" s="8" t="s">
        <v>86</v>
      </c>
      <c r="B24" s="9" t="s">
        <v>87</v>
      </c>
      <c r="C24" s="9">
        <v>75</v>
      </c>
      <c r="D24" s="9" t="s">
        <v>70</v>
      </c>
      <c r="E24" s="10">
        <v>31</v>
      </c>
      <c r="F24" s="10">
        <v>35</v>
      </c>
      <c r="G24" s="10">
        <v>45</v>
      </c>
      <c r="H24" s="10">
        <v>43</v>
      </c>
      <c r="I24" s="10">
        <v>41</v>
      </c>
      <c r="J24" s="11">
        <v>126</v>
      </c>
      <c r="K24" s="11">
        <v>138</v>
      </c>
      <c r="L24" s="11">
        <v>186</v>
      </c>
      <c r="M24" s="11">
        <v>202</v>
      </c>
      <c r="N24" s="11">
        <v>153</v>
      </c>
      <c r="O24" s="13">
        <v>1579</v>
      </c>
      <c r="P24" s="13">
        <v>1660</v>
      </c>
      <c r="Q24" s="13">
        <v>2179</v>
      </c>
      <c r="R24" s="13">
        <v>2456</v>
      </c>
      <c r="S24" s="13">
        <v>1776</v>
      </c>
      <c r="T24" s="12">
        <v>820</v>
      </c>
      <c r="U24" s="12">
        <v>902</v>
      </c>
      <c r="V24" s="12">
        <v>1173</v>
      </c>
      <c r="W24" s="12">
        <v>1216</v>
      </c>
      <c r="X24" s="12">
        <v>681</v>
      </c>
      <c r="Y24" s="12">
        <v>5.35</v>
      </c>
      <c r="Z24" s="12">
        <v>5.4</v>
      </c>
      <c r="AA24" s="12">
        <v>5.38</v>
      </c>
      <c r="AB24" s="13">
        <v>3.95</v>
      </c>
      <c r="AC24" s="13">
        <v>4</v>
      </c>
      <c r="AD24" s="13">
        <v>3.98</v>
      </c>
      <c r="AE24" s="35" t="s">
        <v>258</v>
      </c>
      <c r="AF24" s="35" t="s">
        <v>258</v>
      </c>
      <c r="AG24" s="35" t="s">
        <v>258</v>
      </c>
      <c r="AH24" s="38">
        <v>0.75</v>
      </c>
      <c r="AI24" s="38">
        <v>0.75</v>
      </c>
      <c r="AJ24" s="38">
        <v>0.8</v>
      </c>
      <c r="AK24" s="45" t="s">
        <v>288</v>
      </c>
      <c r="AL24" s="45" t="s">
        <v>34</v>
      </c>
      <c r="AM24" s="45" t="s">
        <v>34</v>
      </c>
      <c r="AN24" s="45" t="s">
        <v>34</v>
      </c>
      <c r="AO24" s="45" t="s">
        <v>34</v>
      </c>
      <c r="AP24" s="45" t="s">
        <v>34</v>
      </c>
      <c r="AQ24" s="53" t="s">
        <v>296</v>
      </c>
      <c r="AR24" s="56">
        <v>102</v>
      </c>
      <c r="AS24" s="57">
        <v>38</v>
      </c>
      <c r="AT24" s="56">
        <v>103</v>
      </c>
      <c r="AU24" s="57">
        <v>11635</v>
      </c>
      <c r="AV24" s="57">
        <v>5180</v>
      </c>
      <c r="AW24" s="57">
        <v>4404</v>
      </c>
      <c r="AX24" s="57">
        <v>6</v>
      </c>
      <c r="AY24" s="57">
        <v>2</v>
      </c>
      <c r="AZ24" s="57">
        <v>1</v>
      </c>
      <c r="BA24" s="57">
        <v>7120</v>
      </c>
      <c r="BB24" s="57">
        <v>6540</v>
      </c>
      <c r="BC24" s="57">
        <v>3963</v>
      </c>
      <c r="BD24" s="57">
        <v>2031</v>
      </c>
      <c r="BE24" s="57">
        <v>573</v>
      </c>
      <c r="BF24" s="57">
        <v>774</v>
      </c>
      <c r="BG24" s="57">
        <v>646</v>
      </c>
      <c r="BH24" s="57">
        <v>277</v>
      </c>
      <c r="BI24" s="57">
        <v>308</v>
      </c>
      <c r="BJ24" s="57" t="s">
        <v>296</v>
      </c>
      <c r="BK24" s="57">
        <v>38</v>
      </c>
      <c r="BL24" s="57">
        <v>0</v>
      </c>
      <c r="BM24" s="57">
        <v>0</v>
      </c>
      <c r="BN24" s="57">
        <v>800</v>
      </c>
      <c r="BO24" s="57">
        <v>0</v>
      </c>
      <c r="BP24" s="57">
        <v>651</v>
      </c>
      <c r="BQ24" s="76">
        <v>415</v>
      </c>
      <c r="BR24" s="76">
        <v>400</v>
      </c>
      <c r="BS24">
        <v>375</v>
      </c>
      <c r="BT24">
        <v>375</v>
      </c>
      <c r="BU24">
        <v>375</v>
      </c>
      <c r="BV24">
        <v>30583</v>
      </c>
      <c r="BW24">
        <v>30023</v>
      </c>
      <c r="BX24">
        <v>29535</v>
      </c>
      <c r="BY24">
        <v>29082</v>
      </c>
      <c r="BZ24">
        <v>28537</v>
      </c>
      <c r="CA24">
        <v>40</v>
      </c>
      <c r="CB24">
        <v>43</v>
      </c>
      <c r="CC24">
        <v>66</v>
      </c>
      <c r="CD24">
        <v>62</v>
      </c>
      <c r="CE24">
        <v>48</v>
      </c>
      <c r="CF24">
        <v>2399</v>
      </c>
      <c r="CG24">
        <v>2562</v>
      </c>
      <c r="CH24">
        <v>3352</v>
      </c>
      <c r="CI24">
        <v>3672</v>
      </c>
      <c r="CJ24">
        <v>2457</v>
      </c>
      <c r="CK24" s="10">
        <v>71.55</v>
      </c>
      <c r="CL24" s="10">
        <v>72.150000000000006</v>
      </c>
      <c r="CM24" s="10">
        <v>72.150000000000006</v>
      </c>
      <c r="CN24" s="11">
        <v>19.13</v>
      </c>
      <c r="CO24" s="11">
        <v>19.170000000000002</v>
      </c>
      <c r="CP24" s="11">
        <v>19.170000000000002</v>
      </c>
      <c r="CQ24" s="13">
        <v>28</v>
      </c>
      <c r="CR24" s="13">
        <v>15</v>
      </c>
      <c r="CS24" s="13">
        <v>3</v>
      </c>
      <c r="CT24" s="10">
        <v>0</v>
      </c>
      <c r="CU24" s="10">
        <v>1</v>
      </c>
      <c r="CV24" s="10">
        <v>13</v>
      </c>
      <c r="CW24" s="10">
        <v>3</v>
      </c>
      <c r="CX24" s="10">
        <v>4</v>
      </c>
      <c r="CY24" s="10">
        <v>0</v>
      </c>
      <c r="CZ24" s="10">
        <v>0</v>
      </c>
      <c r="DA24" s="10">
        <v>0</v>
      </c>
      <c r="DB24" s="10">
        <v>1</v>
      </c>
      <c r="DC24" s="10">
        <v>0</v>
      </c>
      <c r="DD24" s="10">
        <v>0</v>
      </c>
      <c r="DE24" s="10">
        <v>0</v>
      </c>
      <c r="DF24" s="10">
        <v>0</v>
      </c>
      <c r="DG24" s="10">
        <v>0</v>
      </c>
      <c r="DH24" s="10">
        <v>2</v>
      </c>
      <c r="DI24" s="81">
        <v>0</v>
      </c>
      <c r="DJ24" s="81">
        <v>0</v>
      </c>
      <c r="DK24" s="81">
        <v>0</v>
      </c>
      <c r="DL24" s="81">
        <v>0</v>
      </c>
      <c r="DM24" s="81">
        <v>0</v>
      </c>
      <c r="DN24" s="12">
        <v>0</v>
      </c>
      <c r="DO24" s="12">
        <v>0</v>
      </c>
      <c r="DP24" s="12">
        <v>1</v>
      </c>
      <c r="DQ24" s="12">
        <v>0</v>
      </c>
      <c r="DR24" s="12">
        <v>1</v>
      </c>
      <c r="DS24" s="12">
        <v>0</v>
      </c>
      <c r="DT24" s="12">
        <v>0</v>
      </c>
      <c r="DU24" s="12">
        <v>0</v>
      </c>
      <c r="DV24" s="12">
        <v>13</v>
      </c>
      <c r="DW24" s="12">
        <v>1</v>
      </c>
      <c r="DX24" s="12">
        <v>2</v>
      </c>
      <c r="DY24" s="12">
        <v>4</v>
      </c>
      <c r="DZ24" s="12">
        <v>0</v>
      </c>
      <c r="EA24" s="12">
        <v>0</v>
      </c>
      <c r="EB24" s="12">
        <v>18</v>
      </c>
      <c r="EC24" s="12">
        <v>0</v>
      </c>
      <c r="ED24" s="12">
        <v>12</v>
      </c>
      <c r="EE24" s="12">
        <v>1</v>
      </c>
      <c r="EF24" s="12">
        <v>1</v>
      </c>
      <c r="EG24" s="12">
        <v>0</v>
      </c>
      <c r="EH24" s="12">
        <v>0</v>
      </c>
      <c r="EI24" s="12">
        <v>0</v>
      </c>
      <c r="EJ24" s="12">
        <v>0</v>
      </c>
      <c r="EK24" s="12">
        <v>0</v>
      </c>
      <c r="EL24" s="12">
        <v>6</v>
      </c>
      <c r="EM24" s="12">
        <v>4</v>
      </c>
      <c r="EN24" s="12">
        <v>0</v>
      </c>
      <c r="EO24" s="12">
        <v>0</v>
      </c>
      <c r="EP24" s="12">
        <v>5</v>
      </c>
      <c r="EQ24" s="12">
        <v>2</v>
      </c>
      <c r="ER24" s="12">
        <v>0</v>
      </c>
      <c r="ES24" s="13">
        <v>13</v>
      </c>
      <c r="ET24" s="13">
        <v>6</v>
      </c>
      <c r="EU24" s="13">
        <v>0</v>
      </c>
      <c r="EV24" s="10">
        <v>0</v>
      </c>
      <c r="EW24" s="10">
        <v>0</v>
      </c>
      <c r="EX24" s="10">
        <v>0</v>
      </c>
      <c r="EY24" s="10">
        <v>1</v>
      </c>
      <c r="EZ24" s="10">
        <v>0</v>
      </c>
      <c r="FA24" s="10">
        <v>0</v>
      </c>
      <c r="FB24" s="10">
        <v>0</v>
      </c>
      <c r="FC24" s="10">
        <v>0</v>
      </c>
      <c r="FD24" s="10">
        <v>0</v>
      </c>
      <c r="FE24" s="10">
        <v>0</v>
      </c>
      <c r="FF24" s="10">
        <v>0</v>
      </c>
      <c r="FG24" s="10">
        <v>0</v>
      </c>
      <c r="FH24" s="10">
        <v>0</v>
      </c>
      <c r="FI24" s="10">
        <v>0</v>
      </c>
      <c r="FJ24" s="10">
        <v>0</v>
      </c>
      <c r="FK24" s="81">
        <v>0</v>
      </c>
      <c r="FL24" s="81">
        <v>0</v>
      </c>
      <c r="FM24" s="81">
        <v>0</v>
      </c>
      <c r="FN24" s="81">
        <v>0</v>
      </c>
      <c r="FO24" s="81">
        <v>0</v>
      </c>
      <c r="FP24" s="12">
        <v>0</v>
      </c>
      <c r="FQ24" s="12">
        <v>0</v>
      </c>
      <c r="FR24" s="12">
        <v>3</v>
      </c>
      <c r="FS24" s="12">
        <v>0</v>
      </c>
      <c r="FT24" s="12">
        <v>1</v>
      </c>
      <c r="FU24" s="12">
        <v>0</v>
      </c>
      <c r="FV24" s="12">
        <v>0</v>
      </c>
      <c r="FW24" s="12">
        <v>0</v>
      </c>
      <c r="FX24" s="12">
        <v>13</v>
      </c>
      <c r="FY24" s="12">
        <v>0</v>
      </c>
      <c r="FZ24" s="12">
        <v>0</v>
      </c>
      <c r="GA24" s="12">
        <v>0</v>
      </c>
      <c r="GB24" s="12">
        <v>0</v>
      </c>
      <c r="GC24" s="12">
        <v>0</v>
      </c>
      <c r="GD24" s="12">
        <v>1</v>
      </c>
      <c r="GE24" s="12">
        <v>0</v>
      </c>
      <c r="GF24" s="12">
        <v>1</v>
      </c>
      <c r="GG24" s="12">
        <v>1</v>
      </c>
      <c r="GH24" s="12">
        <v>0</v>
      </c>
      <c r="GI24" s="12">
        <v>0</v>
      </c>
      <c r="GJ24" s="12">
        <v>0</v>
      </c>
      <c r="GK24" s="12">
        <v>0</v>
      </c>
      <c r="GL24" s="12">
        <v>0</v>
      </c>
      <c r="GM24" s="12">
        <v>0</v>
      </c>
      <c r="GN24" s="12">
        <v>1</v>
      </c>
      <c r="GO24" s="12">
        <v>0</v>
      </c>
      <c r="GP24" s="12">
        <v>0</v>
      </c>
      <c r="GQ24" s="12">
        <v>0</v>
      </c>
      <c r="GR24" s="12">
        <v>0</v>
      </c>
      <c r="GS24" s="12">
        <v>0</v>
      </c>
      <c r="GT24" s="12">
        <v>0</v>
      </c>
      <c r="GU24" s="13">
        <v>38</v>
      </c>
      <c r="GV24" s="13">
        <v>21</v>
      </c>
      <c r="GW24" s="13">
        <v>0</v>
      </c>
      <c r="GX24" s="13">
        <v>0</v>
      </c>
      <c r="GY24" s="10">
        <v>0</v>
      </c>
      <c r="GZ24" s="10">
        <v>0</v>
      </c>
      <c r="HA24" s="10">
        <v>22</v>
      </c>
      <c r="HB24" s="10">
        <v>12</v>
      </c>
      <c r="HC24" s="10">
        <v>4</v>
      </c>
      <c r="HD24" s="10">
        <v>1</v>
      </c>
      <c r="HE24" s="10">
        <v>0</v>
      </c>
      <c r="HF24" s="10">
        <v>0</v>
      </c>
      <c r="HG24" s="10">
        <v>0</v>
      </c>
      <c r="HH24" s="10">
        <v>0</v>
      </c>
      <c r="HI24" s="10">
        <v>0</v>
      </c>
      <c r="HJ24" s="10">
        <v>0</v>
      </c>
      <c r="HK24" s="10">
        <v>0</v>
      </c>
      <c r="HL24" s="10">
        <v>0</v>
      </c>
      <c r="HM24" s="10">
        <v>1</v>
      </c>
      <c r="HN24" s="81">
        <v>0</v>
      </c>
      <c r="HO24" s="81">
        <v>4</v>
      </c>
      <c r="HP24" s="81">
        <v>0</v>
      </c>
      <c r="HQ24" s="81">
        <v>0</v>
      </c>
      <c r="HR24" s="81">
        <v>0</v>
      </c>
      <c r="HS24" s="12">
        <v>6</v>
      </c>
      <c r="HT24" s="12">
        <v>1</v>
      </c>
      <c r="HU24" s="12">
        <v>3</v>
      </c>
      <c r="HV24" s="12">
        <v>0</v>
      </c>
      <c r="HW24" s="12">
        <v>0</v>
      </c>
      <c r="HX24" s="12">
        <v>0</v>
      </c>
      <c r="HY24" s="12">
        <v>1</v>
      </c>
      <c r="HZ24" s="12">
        <v>0</v>
      </c>
      <c r="IA24" s="12">
        <v>0</v>
      </c>
      <c r="IB24" s="12">
        <v>0</v>
      </c>
      <c r="IC24" s="12">
        <v>10</v>
      </c>
      <c r="ID24" s="12">
        <v>5</v>
      </c>
      <c r="IE24" s="12">
        <v>1</v>
      </c>
      <c r="IF24" s="12">
        <v>0</v>
      </c>
      <c r="IG24" s="12">
        <v>4</v>
      </c>
      <c r="IH24" s="12">
        <v>1</v>
      </c>
      <c r="II24" s="12">
        <v>3</v>
      </c>
      <c r="IJ24" s="12">
        <v>0</v>
      </c>
      <c r="IK24" s="12">
        <v>2</v>
      </c>
      <c r="IL24" s="12">
        <v>0</v>
      </c>
      <c r="IM24" s="12">
        <v>0</v>
      </c>
      <c r="IN24" s="12">
        <v>0</v>
      </c>
      <c r="IO24" s="12">
        <v>0</v>
      </c>
      <c r="IP24" s="12">
        <v>0</v>
      </c>
      <c r="IQ24" s="12">
        <v>1</v>
      </c>
      <c r="IR24" s="12">
        <v>14</v>
      </c>
      <c r="IS24" s="12">
        <v>6</v>
      </c>
      <c r="IT24" s="12">
        <v>0</v>
      </c>
      <c r="IU24" s="12">
        <v>1</v>
      </c>
      <c r="IV24" s="12">
        <v>0</v>
      </c>
      <c r="IW24" s="12">
        <v>0</v>
      </c>
      <c r="IX24" s="11">
        <v>0</v>
      </c>
      <c r="IY24" s="11">
        <v>7000</v>
      </c>
      <c r="IZ24" s="11">
        <v>7000</v>
      </c>
      <c r="JA24" s="85" t="s">
        <v>602</v>
      </c>
      <c r="JB24" s="85">
        <v>1</v>
      </c>
      <c r="JC24" s="85" t="s">
        <v>602</v>
      </c>
      <c r="JD24" s="12">
        <v>7</v>
      </c>
      <c r="JE24" s="12">
        <v>3</v>
      </c>
      <c r="JF24" s="12">
        <v>7</v>
      </c>
      <c r="JG24" s="12">
        <v>3</v>
      </c>
      <c r="JH24" s="12">
        <v>7</v>
      </c>
      <c r="JI24" s="12">
        <v>2</v>
      </c>
      <c r="JJ24" s="13" t="s">
        <v>620</v>
      </c>
      <c r="JK24" s="13" t="s">
        <v>620</v>
      </c>
      <c r="JL24" s="13" t="s">
        <v>297</v>
      </c>
      <c r="JM24" s="89"/>
      <c r="JN24" s="89"/>
      <c r="JO24" s="89" t="s">
        <v>296</v>
      </c>
      <c r="JP24" s="89"/>
      <c r="JQ24" s="89"/>
      <c r="JR24" s="89" t="s">
        <v>297</v>
      </c>
      <c r="JS24" s="89" t="s">
        <v>619</v>
      </c>
      <c r="JT24" s="89" t="s">
        <v>619</v>
      </c>
      <c r="JU24" s="89" t="s">
        <v>296</v>
      </c>
      <c r="JV24" s="89"/>
      <c r="JW24" s="89"/>
      <c r="JX24" s="89" t="s">
        <v>296</v>
      </c>
      <c r="JY24" s="12" t="s">
        <v>34</v>
      </c>
      <c r="JZ24" s="12" t="s">
        <v>34</v>
      </c>
      <c r="KA24" s="12" t="s">
        <v>619</v>
      </c>
      <c r="KB24" s="12" t="s">
        <v>34</v>
      </c>
      <c r="KC24" s="12" t="s">
        <v>619</v>
      </c>
      <c r="KD24" s="12" t="s">
        <v>34</v>
      </c>
      <c r="KE24" s="12" t="s">
        <v>34</v>
      </c>
      <c r="KF24" s="12"/>
      <c r="KG24" s="12" t="s">
        <v>34</v>
      </c>
      <c r="KH24" s="12" t="s">
        <v>34</v>
      </c>
      <c r="KI24" s="12" t="s">
        <v>34</v>
      </c>
      <c r="KJ24" s="12" t="s">
        <v>34</v>
      </c>
      <c r="KK24" s="12" t="s">
        <v>34</v>
      </c>
      <c r="KL24" s="12" t="s">
        <v>34</v>
      </c>
      <c r="KM24" s="12" t="s">
        <v>619</v>
      </c>
      <c r="KN24" s="12" t="s">
        <v>619</v>
      </c>
      <c r="KO24" s="12" t="s">
        <v>619</v>
      </c>
      <c r="KP24" s="12" t="s">
        <v>34</v>
      </c>
      <c r="KQ24" s="12" t="s">
        <v>619</v>
      </c>
      <c r="KR24" s="12" t="s">
        <v>34</v>
      </c>
      <c r="KS24" s="12" t="s">
        <v>34</v>
      </c>
      <c r="KT24" s="12" t="s">
        <v>34</v>
      </c>
      <c r="KU24" s="12" t="s">
        <v>34</v>
      </c>
      <c r="KV24" s="12" t="s">
        <v>34</v>
      </c>
      <c r="KW24" s="12" t="s">
        <v>34</v>
      </c>
      <c r="KX24" s="12" t="s">
        <v>34</v>
      </c>
      <c r="KY24" s="12" t="s">
        <v>34</v>
      </c>
      <c r="KZ24" s="12" t="s">
        <v>34</v>
      </c>
      <c r="LA24" s="12" t="s">
        <v>34</v>
      </c>
      <c r="LB24" s="12" t="s">
        <v>619</v>
      </c>
      <c r="LC24" s="12" t="s">
        <v>34</v>
      </c>
      <c r="LD24" s="12" t="s">
        <v>34</v>
      </c>
      <c r="LE24" s="12" t="s">
        <v>34</v>
      </c>
      <c r="LF24" s="12" t="s">
        <v>34</v>
      </c>
      <c r="LG24" s="12" t="s">
        <v>34</v>
      </c>
      <c r="LH24" s="12" t="s">
        <v>619</v>
      </c>
      <c r="LI24" s="12" t="s">
        <v>34</v>
      </c>
      <c r="LJ24" s="12" t="s">
        <v>619</v>
      </c>
      <c r="LK24" s="12" t="s">
        <v>34</v>
      </c>
      <c r="LL24" s="13" t="s">
        <v>34</v>
      </c>
      <c r="LM24" s="13" t="s">
        <v>34</v>
      </c>
      <c r="LN24" s="13" t="s">
        <v>619</v>
      </c>
      <c r="LO24" s="13" t="s">
        <v>619</v>
      </c>
      <c r="LP24" s="90" t="s">
        <v>619</v>
      </c>
      <c r="LQ24" s="13" t="s">
        <v>34</v>
      </c>
      <c r="LR24" s="13" t="s">
        <v>34</v>
      </c>
      <c r="LS24" s="13"/>
      <c r="LT24" s="13" t="s">
        <v>34</v>
      </c>
      <c r="LU24" s="13" t="s">
        <v>619</v>
      </c>
      <c r="LV24" s="13" t="s">
        <v>34</v>
      </c>
      <c r="LW24" s="13" t="s">
        <v>34</v>
      </c>
      <c r="LX24" s="13" t="s">
        <v>34</v>
      </c>
      <c r="LY24" s="13" t="s">
        <v>34</v>
      </c>
      <c r="LZ24" s="13" t="s">
        <v>619</v>
      </c>
      <c r="MA24" s="13" t="s">
        <v>619</v>
      </c>
      <c r="MB24" s="13" t="s">
        <v>619</v>
      </c>
      <c r="MC24" s="13" t="s">
        <v>34</v>
      </c>
      <c r="MD24" s="13" t="s">
        <v>619</v>
      </c>
      <c r="ME24" s="13" t="s">
        <v>34</v>
      </c>
      <c r="MF24" s="13" t="s">
        <v>34</v>
      </c>
      <c r="MG24" s="13" t="s">
        <v>34</v>
      </c>
      <c r="MH24" s="13" t="s">
        <v>34</v>
      </c>
      <c r="MI24" s="13" t="s">
        <v>34</v>
      </c>
      <c r="MJ24" s="13" t="s">
        <v>34</v>
      </c>
      <c r="MK24" s="13" t="s">
        <v>34</v>
      </c>
      <c r="ML24" s="13" t="s">
        <v>34</v>
      </c>
      <c r="MM24" s="13" t="s">
        <v>34</v>
      </c>
      <c r="MN24" s="13" t="s">
        <v>34</v>
      </c>
      <c r="MO24" s="13" t="s">
        <v>619</v>
      </c>
      <c r="MP24" s="13" t="s">
        <v>619</v>
      </c>
      <c r="MQ24" s="13" t="s">
        <v>619</v>
      </c>
      <c r="MR24" s="13" t="s">
        <v>34</v>
      </c>
      <c r="MS24" s="13" t="s">
        <v>34</v>
      </c>
      <c r="MT24" s="13" t="s">
        <v>34</v>
      </c>
      <c r="MU24" s="13" t="s">
        <v>34</v>
      </c>
      <c r="MV24" s="13" t="s">
        <v>34</v>
      </c>
      <c r="MW24" s="13" t="s">
        <v>34</v>
      </c>
      <c r="MX24" s="13" t="s">
        <v>34</v>
      </c>
      <c r="MY24" s="28" t="s">
        <v>296</v>
      </c>
      <c r="MZ24" s="28" t="s">
        <v>296</v>
      </c>
      <c r="NA24" s="28" t="s">
        <v>296</v>
      </c>
      <c r="NB24" s="28" t="s">
        <v>296</v>
      </c>
      <c r="NC24" s="28" t="s">
        <v>296</v>
      </c>
      <c r="ND24" s="28" t="s">
        <v>296</v>
      </c>
      <c r="NE24" s="28" t="s">
        <v>296</v>
      </c>
      <c r="NF24" s="28" t="s">
        <v>297</v>
      </c>
      <c r="NG24" s="28" t="s">
        <v>297</v>
      </c>
      <c r="NH24" s="28" t="s">
        <v>297</v>
      </c>
      <c r="NI24" s="177" t="s">
        <v>296</v>
      </c>
      <c r="NJ24" s="177" t="s">
        <v>297</v>
      </c>
      <c r="NK24" s="177" t="s">
        <v>296</v>
      </c>
      <c r="NL24" s="177" t="s">
        <v>296</v>
      </c>
      <c r="NM24" s="177" t="s">
        <v>296</v>
      </c>
      <c r="NN24" s="177" t="s">
        <v>296</v>
      </c>
      <c r="NO24" s="177" t="s">
        <v>296</v>
      </c>
      <c r="NP24" s="177" t="s">
        <v>296</v>
      </c>
      <c r="NQ24" s="177" t="s">
        <v>296</v>
      </c>
      <c r="NR24" s="12" t="s">
        <v>34</v>
      </c>
      <c r="NS24" s="13" t="s">
        <v>34</v>
      </c>
    </row>
    <row r="25" spans="1:383" x14ac:dyDescent="0.25">
      <c r="A25" s="8" t="s">
        <v>88</v>
      </c>
      <c r="B25" s="9" t="s">
        <v>89</v>
      </c>
      <c r="C25" s="9">
        <v>27</v>
      </c>
      <c r="D25" s="9" t="s">
        <v>80</v>
      </c>
      <c r="E25" s="10">
        <v>90</v>
      </c>
      <c r="F25" s="10">
        <v>86</v>
      </c>
      <c r="G25" s="10">
        <v>78</v>
      </c>
      <c r="H25" s="10">
        <v>83</v>
      </c>
      <c r="I25" s="10">
        <v>62</v>
      </c>
      <c r="J25" s="11">
        <v>370</v>
      </c>
      <c r="K25" s="11">
        <v>377</v>
      </c>
      <c r="L25" s="11">
        <v>361</v>
      </c>
      <c r="M25" s="11">
        <v>451</v>
      </c>
      <c r="N25" s="11">
        <v>314</v>
      </c>
      <c r="O25" s="13">
        <v>5251</v>
      </c>
      <c r="P25" s="13">
        <v>5265</v>
      </c>
      <c r="Q25" s="13">
        <v>5297</v>
      </c>
      <c r="R25" s="13">
        <v>5955</v>
      </c>
      <c r="S25" s="13">
        <v>4113</v>
      </c>
      <c r="T25" s="12">
        <v>1919</v>
      </c>
      <c r="U25" s="12">
        <v>1917</v>
      </c>
      <c r="V25" s="12">
        <v>1904</v>
      </c>
      <c r="W25" s="12">
        <v>2429</v>
      </c>
      <c r="X25" s="12">
        <v>1783</v>
      </c>
      <c r="Y25" s="12">
        <v>7.6</v>
      </c>
      <c r="Z25" s="12">
        <v>7.6</v>
      </c>
      <c r="AA25" s="12">
        <v>7.6</v>
      </c>
      <c r="AB25" s="13">
        <v>7.6</v>
      </c>
      <c r="AC25" s="13">
        <v>7.6</v>
      </c>
      <c r="AD25" s="13">
        <v>7.6</v>
      </c>
      <c r="AE25" s="35" t="s">
        <v>259</v>
      </c>
      <c r="AF25" s="35" t="s">
        <v>259</v>
      </c>
      <c r="AG25" s="35" t="s">
        <v>259</v>
      </c>
      <c r="AH25" s="38">
        <v>1</v>
      </c>
      <c r="AI25" s="38">
        <v>1</v>
      </c>
      <c r="AJ25" s="38">
        <v>1</v>
      </c>
      <c r="AK25" s="45" t="s">
        <v>34</v>
      </c>
      <c r="AL25" s="45" t="s">
        <v>34</v>
      </c>
      <c r="AM25" s="45" t="s">
        <v>34</v>
      </c>
      <c r="AN25" s="45" t="s">
        <v>34</v>
      </c>
      <c r="AO25" s="45" t="s">
        <v>34</v>
      </c>
      <c r="AP25" s="45" t="s">
        <v>292</v>
      </c>
      <c r="AQ25" s="53" t="s">
        <v>296</v>
      </c>
      <c r="AR25" s="56">
        <v>97</v>
      </c>
      <c r="AS25" s="57">
        <v>39</v>
      </c>
      <c r="AT25" s="56">
        <v>80</v>
      </c>
      <c r="AU25" s="57">
        <v>28548</v>
      </c>
      <c r="AV25" s="57">
        <v>8150</v>
      </c>
      <c r="AW25" s="57">
        <v>17848</v>
      </c>
      <c r="AX25" s="57">
        <v>2</v>
      </c>
      <c r="AY25" s="57">
        <v>2</v>
      </c>
      <c r="AZ25" s="57">
        <v>4</v>
      </c>
      <c r="BA25" s="57">
        <v>108</v>
      </c>
      <c r="BB25" s="57">
        <v>231</v>
      </c>
      <c r="BC25" s="57">
        <v>407</v>
      </c>
      <c r="BD25" s="57">
        <v>0</v>
      </c>
      <c r="BE25" s="57">
        <v>0</v>
      </c>
      <c r="BF25" s="57">
        <v>0</v>
      </c>
      <c r="BG25" s="57">
        <v>0</v>
      </c>
      <c r="BH25" s="57">
        <v>0</v>
      </c>
      <c r="BI25" s="57">
        <v>0</v>
      </c>
      <c r="BJ25" s="57" t="s">
        <v>296</v>
      </c>
      <c r="BK25" s="57">
        <v>5</v>
      </c>
      <c r="BL25" s="57">
        <v>35</v>
      </c>
      <c r="BM25" s="57">
        <v>0</v>
      </c>
      <c r="BN25" s="57">
        <v>0</v>
      </c>
      <c r="BO25" s="57">
        <v>240</v>
      </c>
      <c r="BP25" s="57">
        <v>200</v>
      </c>
      <c r="BQ25" s="76">
        <v>464</v>
      </c>
      <c r="BR25" s="76">
        <v>456</v>
      </c>
      <c r="BS25">
        <v>435</v>
      </c>
      <c r="BT25">
        <v>435</v>
      </c>
      <c r="BU25">
        <v>434</v>
      </c>
      <c r="BV25">
        <v>50895</v>
      </c>
      <c r="BW25">
        <v>50529</v>
      </c>
      <c r="BX25">
        <v>49971</v>
      </c>
      <c r="BY25">
        <v>49314</v>
      </c>
      <c r="BZ25">
        <v>48501</v>
      </c>
      <c r="CA25">
        <v>90</v>
      </c>
      <c r="CB25">
        <v>237</v>
      </c>
      <c r="CC25">
        <v>169</v>
      </c>
      <c r="CD25">
        <v>156</v>
      </c>
      <c r="CE25">
        <v>135</v>
      </c>
      <c r="CF25">
        <v>7170</v>
      </c>
      <c r="CG25">
        <v>7182</v>
      </c>
      <c r="CH25">
        <v>7201</v>
      </c>
      <c r="CI25">
        <v>8384</v>
      </c>
      <c r="CJ25">
        <v>5896</v>
      </c>
      <c r="CK25" s="10">
        <v>19.350000000000001</v>
      </c>
      <c r="CL25" s="10">
        <v>19.350000000000001</v>
      </c>
      <c r="CM25" s="10">
        <v>19.350000000000001</v>
      </c>
      <c r="CN25" s="11">
        <v>18.8</v>
      </c>
      <c r="CO25" s="11">
        <v>18.8</v>
      </c>
      <c r="CP25" s="11">
        <v>18.8</v>
      </c>
      <c r="CQ25" s="13">
        <v>13</v>
      </c>
      <c r="CR25" s="13">
        <v>8</v>
      </c>
      <c r="CS25" s="13">
        <v>0</v>
      </c>
      <c r="CT25" s="10">
        <v>0</v>
      </c>
      <c r="CU25" s="10">
        <v>0</v>
      </c>
      <c r="CV25" s="10">
        <v>14</v>
      </c>
      <c r="CW25" s="10">
        <v>11</v>
      </c>
      <c r="CX25" s="10">
        <v>2</v>
      </c>
      <c r="CY25" s="10">
        <v>0</v>
      </c>
      <c r="CZ25" s="10">
        <v>0</v>
      </c>
      <c r="DA25" s="10">
        <v>5</v>
      </c>
      <c r="DB25" s="10">
        <v>1</v>
      </c>
      <c r="DC25" s="10">
        <v>0</v>
      </c>
      <c r="DD25" s="10">
        <v>0</v>
      </c>
      <c r="DE25" s="10">
        <v>0</v>
      </c>
      <c r="DF25" s="10">
        <v>0</v>
      </c>
      <c r="DG25" s="10">
        <v>0</v>
      </c>
      <c r="DH25" s="10">
        <v>1</v>
      </c>
      <c r="DI25" s="81">
        <v>1</v>
      </c>
      <c r="DJ25" s="81">
        <v>1</v>
      </c>
      <c r="DK25" s="81">
        <v>2</v>
      </c>
      <c r="DL25" s="81">
        <v>1</v>
      </c>
      <c r="DM25" s="81">
        <v>4</v>
      </c>
      <c r="DN25" s="12">
        <v>1</v>
      </c>
      <c r="DO25" s="12">
        <v>0</v>
      </c>
      <c r="DP25" s="12">
        <v>1</v>
      </c>
      <c r="DQ25" s="12">
        <v>0</v>
      </c>
      <c r="DR25" s="12">
        <v>0</v>
      </c>
      <c r="DS25" s="12">
        <v>0</v>
      </c>
      <c r="DT25" s="12">
        <v>0</v>
      </c>
      <c r="DU25" s="12">
        <v>0</v>
      </c>
      <c r="DV25" s="12">
        <v>1</v>
      </c>
      <c r="DW25" s="12">
        <v>1</v>
      </c>
      <c r="DX25" s="12">
        <v>9</v>
      </c>
      <c r="DY25" s="12">
        <v>3</v>
      </c>
      <c r="DZ25" s="12">
        <v>0</v>
      </c>
      <c r="EA25" s="12">
        <v>0</v>
      </c>
      <c r="EB25" s="12">
        <v>6</v>
      </c>
      <c r="EC25" s="12">
        <v>0</v>
      </c>
      <c r="ED25" s="12">
        <v>0</v>
      </c>
      <c r="EE25" s="12">
        <v>7</v>
      </c>
      <c r="EF25" s="12">
        <v>2</v>
      </c>
      <c r="EG25" s="12">
        <v>0</v>
      </c>
      <c r="EH25" s="12">
        <v>0</v>
      </c>
      <c r="EI25" s="12">
        <v>0</v>
      </c>
      <c r="EJ25" s="12">
        <v>2</v>
      </c>
      <c r="EK25" s="12">
        <v>0</v>
      </c>
      <c r="EL25" s="12">
        <v>2</v>
      </c>
      <c r="EM25" s="12">
        <v>1</v>
      </c>
      <c r="EN25" s="12">
        <v>0</v>
      </c>
      <c r="EO25" s="12">
        <v>0</v>
      </c>
      <c r="EP25" s="12">
        <v>0</v>
      </c>
      <c r="EQ25" s="12">
        <v>2</v>
      </c>
      <c r="ER25" s="12">
        <v>0</v>
      </c>
      <c r="ES25" s="13">
        <v>2</v>
      </c>
      <c r="ET25" s="13">
        <v>9</v>
      </c>
      <c r="EU25" s="13">
        <v>0</v>
      </c>
      <c r="EV25" s="10">
        <v>0</v>
      </c>
      <c r="EW25" s="10">
        <v>0</v>
      </c>
      <c r="EX25" s="10">
        <v>1</v>
      </c>
      <c r="EY25" s="10">
        <v>1</v>
      </c>
      <c r="EZ25" s="10">
        <v>0</v>
      </c>
      <c r="FA25" s="10">
        <v>0</v>
      </c>
      <c r="FB25" s="10">
        <v>0</v>
      </c>
      <c r="FC25" s="10">
        <v>1</v>
      </c>
      <c r="FD25" s="10">
        <v>0</v>
      </c>
      <c r="FE25" s="10">
        <v>0</v>
      </c>
      <c r="FF25" s="10">
        <v>0</v>
      </c>
      <c r="FG25" s="10">
        <v>0</v>
      </c>
      <c r="FH25" s="10">
        <v>0</v>
      </c>
      <c r="FI25" s="10">
        <v>0</v>
      </c>
      <c r="FJ25" s="10">
        <v>0</v>
      </c>
      <c r="FK25" s="81">
        <v>0</v>
      </c>
      <c r="FL25" s="81">
        <v>0</v>
      </c>
      <c r="FM25" s="81">
        <v>0</v>
      </c>
      <c r="FN25" s="81">
        <v>0</v>
      </c>
      <c r="FO25" s="81">
        <v>0</v>
      </c>
      <c r="FP25" s="12">
        <v>0</v>
      </c>
      <c r="FQ25" s="12">
        <v>0</v>
      </c>
      <c r="FR25" s="12">
        <v>0</v>
      </c>
      <c r="FS25" s="12">
        <v>0</v>
      </c>
      <c r="FT25" s="12">
        <v>0</v>
      </c>
      <c r="FU25" s="12">
        <v>0</v>
      </c>
      <c r="FV25" s="12">
        <v>0</v>
      </c>
      <c r="FW25" s="12">
        <v>0</v>
      </c>
      <c r="FX25" s="12">
        <v>0</v>
      </c>
      <c r="FY25" s="12">
        <v>0</v>
      </c>
      <c r="FZ25" s="12">
        <v>8</v>
      </c>
      <c r="GA25" s="12">
        <v>0</v>
      </c>
      <c r="GB25" s="12">
        <v>0</v>
      </c>
      <c r="GC25" s="12">
        <v>0</v>
      </c>
      <c r="GD25" s="12">
        <v>7</v>
      </c>
      <c r="GE25" s="12">
        <v>0</v>
      </c>
      <c r="GF25" s="12">
        <v>0</v>
      </c>
      <c r="GG25" s="12">
        <v>3</v>
      </c>
      <c r="GH25" s="12">
        <v>0</v>
      </c>
      <c r="GI25" s="12">
        <v>0</v>
      </c>
      <c r="GJ25" s="12">
        <v>0</v>
      </c>
      <c r="GK25" s="12">
        <v>0</v>
      </c>
      <c r="GL25" s="12">
        <v>1</v>
      </c>
      <c r="GM25" s="12">
        <v>0</v>
      </c>
      <c r="GN25" s="12">
        <v>0</v>
      </c>
      <c r="GO25" s="12">
        <v>0</v>
      </c>
      <c r="GP25" s="12">
        <v>0</v>
      </c>
      <c r="GQ25" s="12">
        <v>0</v>
      </c>
      <c r="GR25" s="12">
        <v>0</v>
      </c>
      <c r="GS25" s="12">
        <v>1</v>
      </c>
      <c r="GT25" s="12">
        <v>0</v>
      </c>
      <c r="GU25" s="13">
        <v>39</v>
      </c>
      <c r="GV25" s="13">
        <v>14</v>
      </c>
      <c r="GW25" s="13">
        <v>11</v>
      </c>
      <c r="GX25" s="13">
        <v>0</v>
      </c>
      <c r="GY25" s="10">
        <v>0</v>
      </c>
      <c r="GZ25" s="10">
        <v>0</v>
      </c>
      <c r="HA25" s="10">
        <v>7</v>
      </c>
      <c r="HB25" s="10">
        <v>14</v>
      </c>
      <c r="HC25" s="10">
        <v>4</v>
      </c>
      <c r="HD25" s="10">
        <v>0</v>
      </c>
      <c r="HE25" s="10">
        <v>0</v>
      </c>
      <c r="HF25" s="10">
        <v>4</v>
      </c>
      <c r="HG25" s="10">
        <v>0</v>
      </c>
      <c r="HH25" s="10">
        <v>4</v>
      </c>
      <c r="HI25" s="10">
        <v>0</v>
      </c>
      <c r="HJ25" s="10">
        <v>0</v>
      </c>
      <c r="HK25" s="10">
        <v>4</v>
      </c>
      <c r="HL25" s="10">
        <v>0</v>
      </c>
      <c r="HM25" s="10">
        <v>0</v>
      </c>
      <c r="HN25" s="81">
        <v>0</v>
      </c>
      <c r="HO25" s="81">
        <v>0</v>
      </c>
      <c r="HP25" s="81">
        <v>0</v>
      </c>
      <c r="HQ25" s="81">
        <v>0</v>
      </c>
      <c r="HR25" s="81">
        <v>0</v>
      </c>
      <c r="HS25" s="12">
        <v>1</v>
      </c>
      <c r="HT25" s="12">
        <v>0</v>
      </c>
      <c r="HU25" s="12">
        <v>0</v>
      </c>
      <c r="HV25" s="12">
        <v>0</v>
      </c>
      <c r="HW25" s="12">
        <v>0</v>
      </c>
      <c r="HX25" s="12">
        <v>0</v>
      </c>
      <c r="HY25" s="12">
        <v>0</v>
      </c>
      <c r="HZ25" s="12">
        <v>0</v>
      </c>
      <c r="IA25" s="12">
        <v>0</v>
      </c>
      <c r="IB25" s="12">
        <v>0</v>
      </c>
      <c r="IC25" s="12">
        <v>9</v>
      </c>
      <c r="ID25" s="12">
        <v>0</v>
      </c>
      <c r="IE25" s="12">
        <v>0</v>
      </c>
      <c r="IF25" s="12">
        <v>0</v>
      </c>
      <c r="IG25" s="12">
        <v>0</v>
      </c>
      <c r="IH25" s="12">
        <v>0</v>
      </c>
      <c r="II25" s="12">
        <v>0</v>
      </c>
      <c r="IJ25" s="12">
        <v>0</v>
      </c>
      <c r="IK25" s="12">
        <v>0</v>
      </c>
      <c r="IL25" s="12">
        <v>0</v>
      </c>
      <c r="IM25" s="12">
        <v>0</v>
      </c>
      <c r="IN25" s="12">
        <v>0</v>
      </c>
      <c r="IO25" s="12">
        <v>1</v>
      </c>
      <c r="IP25" s="12">
        <v>0</v>
      </c>
      <c r="IQ25" s="12">
        <v>0</v>
      </c>
      <c r="IR25" s="12">
        <v>4</v>
      </c>
      <c r="IS25" s="12">
        <v>0</v>
      </c>
      <c r="IT25" s="12">
        <v>0</v>
      </c>
      <c r="IU25" s="12">
        <v>0</v>
      </c>
      <c r="IV25" s="12">
        <v>4</v>
      </c>
      <c r="IW25" s="12">
        <v>0</v>
      </c>
      <c r="IX25" s="11">
        <v>0</v>
      </c>
      <c r="IY25" s="11">
        <v>16000</v>
      </c>
      <c r="IZ25" s="11">
        <v>13800</v>
      </c>
      <c r="JA25" s="85" t="s">
        <v>602</v>
      </c>
      <c r="JB25" s="85">
        <v>0</v>
      </c>
      <c r="JC25" s="85" t="s">
        <v>361</v>
      </c>
      <c r="JD25" s="12">
        <v>14</v>
      </c>
      <c r="JE25" s="12">
        <v>9</v>
      </c>
      <c r="JF25" s="12">
        <v>12</v>
      </c>
      <c r="JG25" s="12">
        <v>8</v>
      </c>
      <c r="JH25" s="12">
        <v>13</v>
      </c>
      <c r="JI25" s="12">
        <v>9</v>
      </c>
      <c r="JJ25" s="13" t="s">
        <v>620</v>
      </c>
      <c r="JK25" s="13" t="s">
        <v>620</v>
      </c>
      <c r="JL25" s="13" t="s">
        <v>297</v>
      </c>
      <c r="JM25" s="89"/>
      <c r="JN25" s="89"/>
      <c r="JO25" s="89" t="s">
        <v>297</v>
      </c>
      <c r="JP25" s="89"/>
      <c r="JQ25" s="89"/>
      <c r="JR25" s="89" t="s">
        <v>296</v>
      </c>
      <c r="JS25" s="89" t="s">
        <v>620</v>
      </c>
      <c r="JT25" s="89" t="s">
        <v>620</v>
      </c>
      <c r="JU25" s="89" t="s">
        <v>296</v>
      </c>
      <c r="JV25" s="89"/>
      <c r="JW25" s="89"/>
      <c r="JX25" s="89" t="s">
        <v>297</v>
      </c>
      <c r="JY25" s="12" t="s">
        <v>619</v>
      </c>
      <c r="JZ25" s="12" t="s">
        <v>34</v>
      </c>
      <c r="KA25" s="12" t="s">
        <v>619</v>
      </c>
      <c r="KB25" s="12" t="s">
        <v>34</v>
      </c>
      <c r="KC25" s="12" t="s">
        <v>34</v>
      </c>
      <c r="KD25" s="12" t="s">
        <v>34</v>
      </c>
      <c r="KE25" s="12" t="s">
        <v>34</v>
      </c>
      <c r="KF25" s="12"/>
      <c r="KG25" s="12" t="s">
        <v>619</v>
      </c>
      <c r="KH25" s="12" t="s">
        <v>34</v>
      </c>
      <c r="KI25" s="12" t="s">
        <v>619</v>
      </c>
      <c r="KJ25" s="12" t="s">
        <v>34</v>
      </c>
      <c r="KK25" s="12" t="s">
        <v>34</v>
      </c>
      <c r="KL25" s="12" t="s">
        <v>34</v>
      </c>
      <c r="KM25" s="12" t="s">
        <v>34</v>
      </c>
      <c r="KN25" s="12" t="s">
        <v>619</v>
      </c>
      <c r="KO25" s="12" t="s">
        <v>619</v>
      </c>
      <c r="KP25" s="12" t="s">
        <v>34</v>
      </c>
      <c r="KQ25" s="12" t="s">
        <v>619</v>
      </c>
      <c r="KR25" s="12" t="s">
        <v>619</v>
      </c>
      <c r="KS25" s="12" t="s">
        <v>34</v>
      </c>
      <c r="KT25" s="12" t="s">
        <v>619</v>
      </c>
      <c r="KU25" s="12" t="s">
        <v>34</v>
      </c>
      <c r="KV25" s="12" t="s">
        <v>619</v>
      </c>
      <c r="KW25" s="12" t="s">
        <v>34</v>
      </c>
      <c r="KX25" s="12" t="s">
        <v>34</v>
      </c>
      <c r="KY25" s="12" t="s">
        <v>619</v>
      </c>
      <c r="KZ25" s="12" t="s">
        <v>619</v>
      </c>
      <c r="LA25" s="12" t="s">
        <v>619</v>
      </c>
      <c r="LB25" s="12" t="s">
        <v>619</v>
      </c>
      <c r="LC25" s="12" t="s">
        <v>34</v>
      </c>
      <c r="LD25" s="12" t="s">
        <v>34</v>
      </c>
      <c r="LE25" s="12" t="s">
        <v>34</v>
      </c>
      <c r="LF25" s="12" t="s">
        <v>34</v>
      </c>
      <c r="LG25" s="12" t="s">
        <v>34</v>
      </c>
      <c r="LH25" s="12" t="s">
        <v>619</v>
      </c>
      <c r="LI25" s="12" t="s">
        <v>34</v>
      </c>
      <c r="LJ25" s="12" t="s">
        <v>619</v>
      </c>
      <c r="LK25" s="12" t="s">
        <v>34</v>
      </c>
      <c r="LL25" s="13" t="s">
        <v>34</v>
      </c>
      <c r="LM25" s="13" t="s">
        <v>34</v>
      </c>
      <c r="LN25" s="13" t="s">
        <v>34</v>
      </c>
      <c r="LO25" s="13" t="s">
        <v>34</v>
      </c>
      <c r="LP25" s="90" t="s">
        <v>34</v>
      </c>
      <c r="LQ25" s="13" t="s">
        <v>34</v>
      </c>
      <c r="LR25" s="13" t="s">
        <v>34</v>
      </c>
      <c r="LS25" s="13"/>
      <c r="LT25" s="13" t="s">
        <v>34</v>
      </c>
      <c r="LU25" s="13" t="s">
        <v>34</v>
      </c>
      <c r="LV25" s="13" t="s">
        <v>34</v>
      </c>
      <c r="LW25" s="13" t="s">
        <v>34</v>
      </c>
      <c r="LX25" s="13" t="s">
        <v>34</v>
      </c>
      <c r="LY25" s="13" t="s">
        <v>34</v>
      </c>
      <c r="LZ25" s="13" t="s">
        <v>34</v>
      </c>
      <c r="MA25" s="13" t="s">
        <v>34</v>
      </c>
      <c r="MB25" s="13" t="s">
        <v>34</v>
      </c>
      <c r="MC25" s="13" t="s">
        <v>34</v>
      </c>
      <c r="MD25" s="13" t="s">
        <v>34</v>
      </c>
      <c r="ME25" s="13" t="s">
        <v>34</v>
      </c>
      <c r="MF25" s="13" t="s">
        <v>34</v>
      </c>
      <c r="MG25" s="13" t="s">
        <v>34</v>
      </c>
      <c r="MH25" s="13" t="s">
        <v>34</v>
      </c>
      <c r="MI25" s="13" t="s">
        <v>34</v>
      </c>
      <c r="MJ25" s="13" t="s">
        <v>34</v>
      </c>
      <c r="MK25" s="13" t="s">
        <v>34</v>
      </c>
      <c r="ML25" s="13" t="s">
        <v>34</v>
      </c>
      <c r="MM25" s="13" t="s">
        <v>34</v>
      </c>
      <c r="MN25" s="13" t="s">
        <v>34</v>
      </c>
      <c r="MO25" s="13" t="s">
        <v>34</v>
      </c>
      <c r="MP25" s="13" t="s">
        <v>34</v>
      </c>
      <c r="MQ25" s="13" t="s">
        <v>34</v>
      </c>
      <c r="MR25" s="13" t="s">
        <v>34</v>
      </c>
      <c r="MS25" s="13" t="s">
        <v>34</v>
      </c>
      <c r="MT25" s="13" t="s">
        <v>34</v>
      </c>
      <c r="MU25" s="13" t="s">
        <v>34</v>
      </c>
      <c r="MV25" s="13" t="s">
        <v>34</v>
      </c>
      <c r="MW25" s="13" t="s">
        <v>34</v>
      </c>
      <c r="MX25" s="13" t="s">
        <v>34</v>
      </c>
      <c r="MY25" s="28" t="s">
        <v>296</v>
      </c>
      <c r="MZ25" s="28" t="s">
        <v>297</v>
      </c>
      <c r="NA25" s="28" t="s">
        <v>296</v>
      </c>
      <c r="NB25" s="28" t="s">
        <v>296</v>
      </c>
      <c r="NC25" s="28" t="s">
        <v>296</v>
      </c>
      <c r="ND25" s="28" t="s">
        <v>297</v>
      </c>
      <c r="NE25" s="28" t="s">
        <v>296</v>
      </c>
      <c r="NF25" s="28" t="s">
        <v>296</v>
      </c>
      <c r="NG25" s="28" t="s">
        <v>297</v>
      </c>
      <c r="NH25" s="28" t="s">
        <v>297</v>
      </c>
      <c r="NI25" s="177" t="s">
        <v>296</v>
      </c>
      <c r="NJ25" s="177" t="s">
        <v>297</v>
      </c>
      <c r="NK25" s="177" t="s">
        <v>296</v>
      </c>
      <c r="NL25" s="177" t="s">
        <v>297</v>
      </c>
      <c r="NM25" s="177" t="s">
        <v>296</v>
      </c>
      <c r="NN25" s="177" t="s">
        <v>296</v>
      </c>
      <c r="NO25" s="177" t="s">
        <v>296</v>
      </c>
      <c r="NP25" s="177" t="s">
        <v>297</v>
      </c>
      <c r="NQ25" s="177" t="s">
        <v>296</v>
      </c>
      <c r="NR25" s="12" t="s">
        <v>34</v>
      </c>
      <c r="NS25" s="13" t="s">
        <v>34</v>
      </c>
    </row>
    <row r="26" spans="1:383" x14ac:dyDescent="0.25">
      <c r="A26" s="8" t="s">
        <v>90</v>
      </c>
      <c r="B26" s="9" t="s">
        <v>91</v>
      </c>
      <c r="C26" s="9">
        <v>84</v>
      </c>
      <c r="D26" s="9" t="s">
        <v>33</v>
      </c>
      <c r="E26" s="10">
        <v>71</v>
      </c>
      <c r="F26" s="10">
        <v>72</v>
      </c>
      <c r="G26" s="10">
        <v>71</v>
      </c>
      <c r="H26" s="10">
        <v>65</v>
      </c>
      <c r="I26" s="10">
        <v>51</v>
      </c>
      <c r="J26" s="11">
        <v>459</v>
      </c>
      <c r="K26" s="11">
        <v>420</v>
      </c>
      <c r="L26" s="11">
        <v>468</v>
      </c>
      <c r="M26" s="11">
        <v>310</v>
      </c>
      <c r="N26" s="11">
        <v>279</v>
      </c>
      <c r="O26" s="13">
        <v>2102</v>
      </c>
      <c r="P26" s="13">
        <v>2157</v>
      </c>
      <c r="Q26" s="13">
        <v>2213</v>
      </c>
      <c r="R26" s="13">
        <v>1736</v>
      </c>
      <c r="S26" s="13">
        <v>1217</v>
      </c>
      <c r="T26" s="12">
        <v>327</v>
      </c>
      <c r="U26" s="12">
        <v>397</v>
      </c>
      <c r="V26" s="12">
        <v>370</v>
      </c>
      <c r="W26" s="12">
        <v>343</v>
      </c>
      <c r="X26" s="12">
        <v>111</v>
      </c>
      <c r="Y26" s="12">
        <v>9.1999999999999993</v>
      </c>
      <c r="Z26" s="12">
        <v>9.1999999999999993</v>
      </c>
      <c r="AA26" s="12">
        <v>5.6</v>
      </c>
      <c r="AB26" s="13">
        <v>9.1999999999999993</v>
      </c>
      <c r="AC26" s="13">
        <v>9.1999999999999993</v>
      </c>
      <c r="AD26" s="13">
        <v>5.6</v>
      </c>
      <c r="AE26" s="35" t="s">
        <v>258</v>
      </c>
      <c r="AF26" s="35" t="s">
        <v>258</v>
      </c>
      <c r="AG26" s="35" t="s">
        <v>258</v>
      </c>
      <c r="AH26" s="38">
        <v>0.5</v>
      </c>
      <c r="AI26" s="38">
        <v>0.5</v>
      </c>
      <c r="AJ26" s="38">
        <v>0.5</v>
      </c>
      <c r="AK26" s="45" t="s">
        <v>34</v>
      </c>
      <c r="AL26" s="45" t="s">
        <v>34</v>
      </c>
      <c r="AM26" s="45" t="s">
        <v>34</v>
      </c>
      <c r="AN26" s="45" t="s">
        <v>34</v>
      </c>
      <c r="AO26" s="45" t="s">
        <v>34</v>
      </c>
      <c r="AP26" s="45" t="s">
        <v>292</v>
      </c>
      <c r="AQ26" s="53" t="s">
        <v>297</v>
      </c>
      <c r="AR26" s="56">
        <v>65</v>
      </c>
      <c r="AS26" s="57">
        <v>23</v>
      </c>
      <c r="AT26" s="56">
        <v>31</v>
      </c>
      <c r="AU26" s="57">
        <v>10104</v>
      </c>
      <c r="AV26" s="57">
        <v>2479</v>
      </c>
      <c r="AW26" s="57">
        <v>3306</v>
      </c>
      <c r="AX26" s="57">
        <v>16</v>
      </c>
      <c r="AY26" s="57">
        <v>5</v>
      </c>
      <c r="AZ26" s="57">
        <v>12</v>
      </c>
      <c r="BA26" s="57">
        <v>4372</v>
      </c>
      <c r="BB26" s="57">
        <v>2202</v>
      </c>
      <c r="BC26" s="57">
        <v>2377</v>
      </c>
      <c r="BD26" s="57">
        <v>929</v>
      </c>
      <c r="BE26" s="57">
        <v>749</v>
      </c>
      <c r="BF26" s="57">
        <v>801</v>
      </c>
      <c r="BG26" s="57">
        <v>216</v>
      </c>
      <c r="BH26" s="57">
        <v>591</v>
      </c>
      <c r="BI26" s="57">
        <v>2499</v>
      </c>
      <c r="BJ26" s="57" t="s">
        <v>297</v>
      </c>
      <c r="BK26" s="57">
        <v>6</v>
      </c>
      <c r="BL26" s="57">
        <v>0</v>
      </c>
      <c r="BM26" s="57">
        <v>0</v>
      </c>
      <c r="BN26" s="57">
        <v>120</v>
      </c>
      <c r="BO26" s="57">
        <v>150</v>
      </c>
      <c r="BP26" s="57">
        <v>100</v>
      </c>
      <c r="BQ26" s="76">
        <v>419</v>
      </c>
      <c r="BR26" s="76">
        <v>420</v>
      </c>
      <c r="BS26">
        <v>416</v>
      </c>
      <c r="BT26">
        <v>416</v>
      </c>
      <c r="BU26">
        <v>415</v>
      </c>
      <c r="BV26">
        <v>45374</v>
      </c>
      <c r="BW26">
        <v>45385</v>
      </c>
      <c r="BX26">
        <v>44932</v>
      </c>
      <c r="BY26">
        <v>44387</v>
      </c>
      <c r="BZ26">
        <v>43942</v>
      </c>
      <c r="CA26">
        <v>71</v>
      </c>
      <c r="CB26">
        <v>71</v>
      </c>
      <c r="CC26">
        <v>74</v>
      </c>
      <c r="CD26">
        <v>64</v>
      </c>
      <c r="CE26">
        <v>51</v>
      </c>
      <c r="CF26">
        <v>2429</v>
      </c>
      <c r="CG26">
        <v>2554</v>
      </c>
      <c r="CH26">
        <v>2583</v>
      </c>
      <c r="CI26">
        <v>2079</v>
      </c>
      <c r="CJ26">
        <v>1328</v>
      </c>
      <c r="CK26" s="10">
        <v>15</v>
      </c>
      <c r="CL26" s="10">
        <v>15.1</v>
      </c>
      <c r="CM26" s="10">
        <v>35</v>
      </c>
      <c r="CN26" s="11">
        <v>22.3</v>
      </c>
      <c r="CO26" s="11">
        <v>22.3</v>
      </c>
      <c r="CP26" s="11">
        <v>22.3</v>
      </c>
      <c r="CQ26" s="13">
        <v>9</v>
      </c>
      <c r="CR26" s="13">
        <v>6</v>
      </c>
      <c r="CS26" s="13">
        <v>0</v>
      </c>
      <c r="CT26" s="10">
        <v>0</v>
      </c>
      <c r="CU26" s="10">
        <v>0</v>
      </c>
      <c r="CV26" s="10">
        <v>6</v>
      </c>
      <c r="CW26" s="10">
        <v>10</v>
      </c>
      <c r="CX26" s="10">
        <v>5</v>
      </c>
      <c r="CY26" s="10">
        <v>0</v>
      </c>
      <c r="CZ26" s="10">
        <v>0</v>
      </c>
      <c r="DA26" s="10">
        <v>0</v>
      </c>
      <c r="DB26" s="10">
        <v>0</v>
      </c>
      <c r="DC26" s="10">
        <v>0</v>
      </c>
      <c r="DD26" s="10">
        <v>0</v>
      </c>
      <c r="DE26" s="10">
        <v>1</v>
      </c>
      <c r="DF26" s="10">
        <v>1</v>
      </c>
      <c r="DG26" s="10">
        <v>0</v>
      </c>
      <c r="DH26" s="10">
        <v>2</v>
      </c>
      <c r="DI26" s="81">
        <v>0</v>
      </c>
      <c r="DJ26" s="81">
        <v>0</v>
      </c>
      <c r="DK26" s="81">
        <v>0</v>
      </c>
      <c r="DL26" s="81">
        <v>0</v>
      </c>
      <c r="DM26" s="81">
        <v>2</v>
      </c>
      <c r="DN26" s="12">
        <v>3</v>
      </c>
      <c r="DO26" s="12">
        <v>0</v>
      </c>
      <c r="DP26" s="12">
        <v>0</v>
      </c>
      <c r="DQ26" s="12">
        <v>2</v>
      </c>
      <c r="DR26" s="12">
        <v>1</v>
      </c>
      <c r="DS26" s="12">
        <v>0</v>
      </c>
      <c r="DT26" s="12">
        <v>1</v>
      </c>
      <c r="DU26" s="12">
        <v>0</v>
      </c>
      <c r="DV26" s="12">
        <v>3</v>
      </c>
      <c r="DW26" s="12">
        <v>0</v>
      </c>
      <c r="DX26" s="12">
        <v>2</v>
      </c>
      <c r="DY26" s="12">
        <v>2</v>
      </c>
      <c r="DZ26" s="12">
        <v>0</v>
      </c>
      <c r="EA26" s="12">
        <v>0</v>
      </c>
      <c r="EB26" s="12">
        <v>6</v>
      </c>
      <c r="EC26" s="12">
        <v>0</v>
      </c>
      <c r="ED26" s="12">
        <v>0</v>
      </c>
      <c r="EE26" s="12">
        <v>1</v>
      </c>
      <c r="EF26" s="12">
        <v>8</v>
      </c>
      <c r="EG26" s="12">
        <v>0</v>
      </c>
      <c r="EH26" s="12">
        <v>0</v>
      </c>
      <c r="EI26" s="12">
        <v>0</v>
      </c>
      <c r="EJ26" s="12">
        <v>5</v>
      </c>
      <c r="EK26" s="12">
        <v>0</v>
      </c>
      <c r="EL26" s="12">
        <v>3</v>
      </c>
      <c r="EM26" s="12">
        <v>2</v>
      </c>
      <c r="EN26" s="12">
        <v>0</v>
      </c>
      <c r="EO26" s="12">
        <v>1</v>
      </c>
      <c r="EP26" s="12">
        <v>0</v>
      </c>
      <c r="EQ26" s="12">
        <v>0</v>
      </c>
      <c r="ER26" s="12">
        <v>0</v>
      </c>
      <c r="ES26" s="13">
        <v>0</v>
      </c>
      <c r="ET26" s="13">
        <v>0</v>
      </c>
      <c r="EU26" s="13">
        <v>0</v>
      </c>
      <c r="EV26" s="10">
        <v>0</v>
      </c>
      <c r="EW26" s="10">
        <v>0</v>
      </c>
      <c r="EX26" s="10">
        <v>3</v>
      </c>
      <c r="EY26" s="10">
        <v>3</v>
      </c>
      <c r="EZ26" s="10">
        <v>0</v>
      </c>
      <c r="FA26" s="10">
        <v>0</v>
      </c>
      <c r="FB26" s="10">
        <v>0</v>
      </c>
      <c r="FC26" s="10">
        <v>0</v>
      </c>
      <c r="FD26" s="10">
        <v>0</v>
      </c>
      <c r="FE26" s="10">
        <v>0</v>
      </c>
      <c r="FF26" s="10">
        <v>0</v>
      </c>
      <c r="FG26" s="10">
        <v>0</v>
      </c>
      <c r="FH26" s="10">
        <v>1</v>
      </c>
      <c r="FI26" s="10">
        <v>0</v>
      </c>
      <c r="FJ26" s="10">
        <v>0</v>
      </c>
      <c r="FK26" s="81">
        <v>0</v>
      </c>
      <c r="FL26" s="81">
        <v>0</v>
      </c>
      <c r="FM26" s="81">
        <v>0</v>
      </c>
      <c r="FN26" s="81">
        <v>0</v>
      </c>
      <c r="FO26" s="81">
        <v>1</v>
      </c>
      <c r="FP26" s="12">
        <v>3</v>
      </c>
      <c r="FQ26" s="12">
        <v>0</v>
      </c>
      <c r="FR26" s="12">
        <v>0</v>
      </c>
      <c r="FS26" s="12">
        <v>0</v>
      </c>
      <c r="FT26" s="12">
        <v>0</v>
      </c>
      <c r="FU26" s="12">
        <v>0</v>
      </c>
      <c r="FV26" s="12">
        <v>0</v>
      </c>
      <c r="FW26" s="12">
        <v>0</v>
      </c>
      <c r="FX26" s="12">
        <v>5</v>
      </c>
      <c r="FY26" s="12">
        <v>0</v>
      </c>
      <c r="FZ26" s="12">
        <v>0</v>
      </c>
      <c r="GA26" s="12">
        <v>1</v>
      </c>
      <c r="GB26" s="12">
        <v>0</v>
      </c>
      <c r="GC26" s="12">
        <v>0</v>
      </c>
      <c r="GD26" s="12">
        <v>3</v>
      </c>
      <c r="GE26" s="12">
        <v>0</v>
      </c>
      <c r="GF26" s="12">
        <v>0</v>
      </c>
      <c r="GG26" s="12">
        <v>0</v>
      </c>
      <c r="GH26" s="12">
        <v>5</v>
      </c>
      <c r="GI26" s="12">
        <v>0</v>
      </c>
      <c r="GJ26" s="12">
        <v>0</v>
      </c>
      <c r="GK26" s="12">
        <v>0</v>
      </c>
      <c r="GL26" s="12">
        <v>0</v>
      </c>
      <c r="GM26" s="12">
        <v>0</v>
      </c>
      <c r="GN26" s="12">
        <v>2</v>
      </c>
      <c r="GO26" s="12">
        <v>1</v>
      </c>
      <c r="GP26" s="12">
        <v>0</v>
      </c>
      <c r="GQ26" s="12">
        <v>0</v>
      </c>
      <c r="GR26" s="12">
        <v>0</v>
      </c>
      <c r="GS26" s="12">
        <v>0</v>
      </c>
      <c r="GT26" s="12">
        <v>0</v>
      </c>
      <c r="GU26" s="13">
        <v>23</v>
      </c>
      <c r="GV26" s="13">
        <v>8</v>
      </c>
      <c r="GW26" s="13">
        <v>0</v>
      </c>
      <c r="GX26" s="13">
        <v>0</v>
      </c>
      <c r="GY26" s="10">
        <v>0</v>
      </c>
      <c r="GZ26" s="10">
        <v>0</v>
      </c>
      <c r="HA26" s="10">
        <v>11</v>
      </c>
      <c r="HB26" s="10">
        <v>3</v>
      </c>
      <c r="HC26" s="10">
        <v>16</v>
      </c>
      <c r="HD26" s="10">
        <v>0</v>
      </c>
      <c r="HE26" s="10">
        <v>0</v>
      </c>
      <c r="HF26" s="10">
        <v>0</v>
      </c>
      <c r="HG26" s="10">
        <v>0</v>
      </c>
      <c r="HH26" s="10">
        <v>0</v>
      </c>
      <c r="HI26" s="10">
        <v>0</v>
      </c>
      <c r="HJ26" s="10">
        <v>0</v>
      </c>
      <c r="HK26" s="10">
        <v>0</v>
      </c>
      <c r="HL26" s="10">
        <v>0</v>
      </c>
      <c r="HM26" s="10">
        <v>2</v>
      </c>
      <c r="HN26" s="81">
        <v>0</v>
      </c>
      <c r="HO26" s="81">
        <v>0</v>
      </c>
      <c r="HP26" s="81">
        <v>0</v>
      </c>
      <c r="HQ26" s="81">
        <v>0</v>
      </c>
      <c r="HR26" s="81">
        <v>0</v>
      </c>
      <c r="HS26" s="12">
        <v>0</v>
      </c>
      <c r="HT26" s="12">
        <v>0</v>
      </c>
      <c r="HU26" s="12">
        <v>0</v>
      </c>
      <c r="HV26" s="12">
        <v>0</v>
      </c>
      <c r="HW26" s="12">
        <v>0</v>
      </c>
      <c r="HX26" s="12">
        <v>0</v>
      </c>
      <c r="HY26" s="12">
        <v>0</v>
      </c>
      <c r="HZ26" s="12">
        <v>0</v>
      </c>
      <c r="IA26" s="12">
        <v>0</v>
      </c>
      <c r="IB26" s="12">
        <v>0</v>
      </c>
      <c r="IC26" s="12">
        <v>0</v>
      </c>
      <c r="ID26" s="12">
        <v>1</v>
      </c>
      <c r="IE26" s="12">
        <v>0</v>
      </c>
      <c r="IF26" s="12">
        <v>0</v>
      </c>
      <c r="IG26" s="12">
        <v>5</v>
      </c>
      <c r="IH26" s="12">
        <v>0</v>
      </c>
      <c r="II26" s="12">
        <v>5</v>
      </c>
      <c r="IJ26" s="12">
        <v>0</v>
      </c>
      <c r="IK26" s="12">
        <v>0</v>
      </c>
      <c r="IL26" s="12">
        <v>0</v>
      </c>
      <c r="IM26" s="12">
        <v>0</v>
      </c>
      <c r="IN26" s="12">
        <v>0</v>
      </c>
      <c r="IO26" s="12">
        <v>0</v>
      </c>
      <c r="IP26" s="12">
        <v>0</v>
      </c>
      <c r="IQ26" s="12">
        <v>1</v>
      </c>
      <c r="IR26" s="12">
        <v>0</v>
      </c>
      <c r="IS26" s="12">
        <v>0</v>
      </c>
      <c r="IT26" s="12">
        <v>0</v>
      </c>
      <c r="IU26" s="12">
        <v>0</v>
      </c>
      <c r="IV26" s="12">
        <v>5</v>
      </c>
      <c r="IW26" s="12">
        <v>0</v>
      </c>
      <c r="IX26" s="11">
        <v>5500</v>
      </c>
      <c r="IY26" s="11">
        <v>29500</v>
      </c>
      <c r="IZ26" s="11">
        <v>18500</v>
      </c>
      <c r="JA26" s="85" t="s">
        <v>602</v>
      </c>
      <c r="JB26" s="85" t="s">
        <v>602</v>
      </c>
      <c r="JC26" s="85">
        <v>0</v>
      </c>
      <c r="JD26" s="12">
        <v>9</v>
      </c>
      <c r="JE26" s="12">
        <v>2</v>
      </c>
      <c r="JF26" s="12">
        <v>9</v>
      </c>
      <c r="JG26" s="12">
        <v>2</v>
      </c>
      <c r="JH26" s="12">
        <v>10</v>
      </c>
      <c r="JI26" s="12">
        <v>10</v>
      </c>
      <c r="JJ26" s="13" t="s">
        <v>620</v>
      </c>
      <c r="JK26" s="13" t="s">
        <v>620</v>
      </c>
      <c r="JL26" s="13" t="s">
        <v>297</v>
      </c>
      <c r="JM26" s="89"/>
      <c r="JN26" s="89"/>
      <c r="JO26" s="89" t="s">
        <v>296</v>
      </c>
      <c r="JP26" s="89"/>
      <c r="JQ26" s="89"/>
      <c r="JR26" s="89" t="s">
        <v>296</v>
      </c>
      <c r="JS26" s="89" t="s">
        <v>620</v>
      </c>
      <c r="JT26" s="89" t="s">
        <v>619</v>
      </c>
      <c r="JU26" s="89" t="s">
        <v>296</v>
      </c>
      <c r="JV26" s="89"/>
      <c r="JW26" s="89"/>
      <c r="JX26" s="89" t="s">
        <v>297</v>
      </c>
      <c r="JY26" s="12" t="s">
        <v>34</v>
      </c>
      <c r="JZ26" s="12" t="s">
        <v>34</v>
      </c>
      <c r="KA26" s="12" t="s">
        <v>34</v>
      </c>
      <c r="KB26" s="12" t="s">
        <v>34</v>
      </c>
      <c r="KC26" s="12" t="s">
        <v>34</v>
      </c>
      <c r="KD26" s="12" t="s">
        <v>34</v>
      </c>
      <c r="KE26" s="12" t="s">
        <v>34</v>
      </c>
      <c r="KF26" s="12"/>
      <c r="KG26" s="12" t="s">
        <v>34</v>
      </c>
      <c r="KH26" s="12" t="s">
        <v>34</v>
      </c>
      <c r="KI26" s="12" t="s">
        <v>34</v>
      </c>
      <c r="KJ26" s="12" t="s">
        <v>619</v>
      </c>
      <c r="KK26" s="12" t="s">
        <v>34</v>
      </c>
      <c r="KL26" s="12" t="s">
        <v>34</v>
      </c>
      <c r="KM26" s="12" t="s">
        <v>619</v>
      </c>
      <c r="KN26" s="12" t="s">
        <v>34</v>
      </c>
      <c r="KO26" s="12" t="s">
        <v>34</v>
      </c>
      <c r="KP26" s="12" t="s">
        <v>34</v>
      </c>
      <c r="KQ26" s="12" t="s">
        <v>619</v>
      </c>
      <c r="KR26" s="12" t="s">
        <v>619</v>
      </c>
      <c r="KS26" s="12" t="s">
        <v>34</v>
      </c>
      <c r="KT26" s="12" t="s">
        <v>34</v>
      </c>
      <c r="KU26" s="12" t="s">
        <v>34</v>
      </c>
      <c r="KV26" s="12" t="s">
        <v>34</v>
      </c>
      <c r="KW26" s="12" t="s">
        <v>34</v>
      </c>
      <c r="KX26" s="12" t="s">
        <v>34</v>
      </c>
      <c r="KY26" s="12" t="s">
        <v>34</v>
      </c>
      <c r="KZ26" s="12" t="s">
        <v>34</v>
      </c>
      <c r="LA26" s="12" t="s">
        <v>34</v>
      </c>
      <c r="LB26" s="12" t="s">
        <v>619</v>
      </c>
      <c r="LC26" s="12" t="s">
        <v>34</v>
      </c>
      <c r="LD26" s="12" t="s">
        <v>34</v>
      </c>
      <c r="LE26" s="12" t="s">
        <v>34</v>
      </c>
      <c r="LF26" s="12" t="s">
        <v>34</v>
      </c>
      <c r="LG26" s="12" t="s">
        <v>34</v>
      </c>
      <c r="LH26" s="12" t="s">
        <v>619</v>
      </c>
      <c r="LI26" s="12" t="s">
        <v>619</v>
      </c>
      <c r="LJ26" s="12" t="s">
        <v>34</v>
      </c>
      <c r="LK26" s="12" t="s">
        <v>34</v>
      </c>
      <c r="LL26" s="13" t="s">
        <v>619</v>
      </c>
      <c r="LM26" s="13" t="s">
        <v>34</v>
      </c>
      <c r="LN26" s="13" t="s">
        <v>34</v>
      </c>
      <c r="LO26" s="13" t="s">
        <v>34</v>
      </c>
      <c r="LP26" s="90" t="s">
        <v>34</v>
      </c>
      <c r="LQ26" s="13" t="s">
        <v>34</v>
      </c>
      <c r="LR26" s="13" t="s">
        <v>34</v>
      </c>
      <c r="LS26" s="13"/>
      <c r="LT26" s="13" t="s">
        <v>34</v>
      </c>
      <c r="LU26" s="13" t="s">
        <v>34</v>
      </c>
      <c r="LV26" s="13" t="s">
        <v>619</v>
      </c>
      <c r="LW26" s="13" t="s">
        <v>34</v>
      </c>
      <c r="LX26" s="13" t="s">
        <v>34</v>
      </c>
      <c r="LY26" s="13" t="s">
        <v>34</v>
      </c>
      <c r="LZ26" s="13" t="s">
        <v>34</v>
      </c>
      <c r="MA26" s="13" t="s">
        <v>34</v>
      </c>
      <c r="MB26" s="13" t="s">
        <v>619</v>
      </c>
      <c r="MC26" s="13" t="s">
        <v>34</v>
      </c>
      <c r="MD26" s="13" t="s">
        <v>34</v>
      </c>
      <c r="ME26" s="13" t="s">
        <v>34</v>
      </c>
      <c r="MF26" s="13" t="s">
        <v>34</v>
      </c>
      <c r="MG26" s="13" t="s">
        <v>34</v>
      </c>
      <c r="MH26" s="13" t="s">
        <v>34</v>
      </c>
      <c r="MI26" s="13" t="s">
        <v>34</v>
      </c>
      <c r="MJ26" s="13" t="s">
        <v>34</v>
      </c>
      <c r="MK26" s="13" t="s">
        <v>34</v>
      </c>
      <c r="ML26" s="13" t="s">
        <v>34</v>
      </c>
      <c r="MM26" s="13" t="s">
        <v>34</v>
      </c>
      <c r="MN26" s="13" t="s">
        <v>34</v>
      </c>
      <c r="MO26" s="13" t="s">
        <v>34</v>
      </c>
      <c r="MP26" s="13" t="s">
        <v>34</v>
      </c>
      <c r="MQ26" s="13" t="s">
        <v>34</v>
      </c>
      <c r="MR26" s="13" t="s">
        <v>34</v>
      </c>
      <c r="MS26" s="13" t="s">
        <v>34</v>
      </c>
      <c r="MT26" s="13" t="s">
        <v>34</v>
      </c>
      <c r="MU26" s="13" t="s">
        <v>34</v>
      </c>
      <c r="MV26" s="13" t="s">
        <v>34</v>
      </c>
      <c r="MW26" s="13" t="s">
        <v>34</v>
      </c>
      <c r="MX26" s="13" t="s">
        <v>34</v>
      </c>
      <c r="MY26" s="28" t="s">
        <v>296</v>
      </c>
      <c r="MZ26" s="28" t="s">
        <v>296</v>
      </c>
      <c r="NA26" s="28" t="s">
        <v>296</v>
      </c>
      <c r="NB26" s="28" t="s">
        <v>296</v>
      </c>
      <c r="NC26" s="28" t="s">
        <v>296</v>
      </c>
      <c r="ND26" s="28" t="s">
        <v>296</v>
      </c>
      <c r="NE26" s="28" t="s">
        <v>296</v>
      </c>
      <c r="NF26" s="28" t="s">
        <v>297</v>
      </c>
      <c r="NG26" s="28" t="s">
        <v>297</v>
      </c>
      <c r="NH26" s="28" t="s">
        <v>297</v>
      </c>
      <c r="NI26" s="177" t="s">
        <v>296</v>
      </c>
      <c r="NJ26" s="177" t="s">
        <v>297</v>
      </c>
      <c r="NK26" s="177" t="s">
        <v>296</v>
      </c>
      <c r="NL26" s="177" t="s">
        <v>297</v>
      </c>
      <c r="NM26" s="177" t="s">
        <v>296</v>
      </c>
      <c r="NN26" s="177" t="s">
        <v>296</v>
      </c>
      <c r="NO26" s="177" t="s">
        <v>297</v>
      </c>
      <c r="NP26" s="177" t="s">
        <v>297</v>
      </c>
      <c r="NQ26" s="177" t="s">
        <v>297</v>
      </c>
      <c r="NR26" s="12" t="s">
        <v>34</v>
      </c>
      <c r="NS26" s="13" t="s">
        <v>34</v>
      </c>
    </row>
    <row r="27" spans="1:383" x14ac:dyDescent="0.25">
      <c r="A27" s="8" t="s">
        <v>92</v>
      </c>
      <c r="B27" s="9" t="s">
        <v>93</v>
      </c>
      <c r="C27" s="9">
        <v>28</v>
      </c>
      <c r="D27" s="9" t="s">
        <v>65</v>
      </c>
      <c r="E27" s="10">
        <v>19</v>
      </c>
      <c r="F27" s="10">
        <v>20</v>
      </c>
      <c r="G27" s="10">
        <v>19</v>
      </c>
      <c r="H27" s="10">
        <v>29</v>
      </c>
      <c r="I27" s="10">
        <v>33</v>
      </c>
      <c r="J27" s="11">
        <v>381</v>
      </c>
      <c r="K27" s="11">
        <v>375</v>
      </c>
      <c r="L27" s="11">
        <v>287</v>
      </c>
      <c r="M27" s="11">
        <v>319</v>
      </c>
      <c r="N27" s="11">
        <v>309</v>
      </c>
      <c r="O27" s="13">
        <v>5908</v>
      </c>
      <c r="P27" s="13">
        <v>5575</v>
      </c>
      <c r="Q27" s="13">
        <v>3819</v>
      </c>
      <c r="R27" s="13">
        <v>3923</v>
      </c>
      <c r="S27" s="13">
        <v>3451</v>
      </c>
      <c r="T27" s="12">
        <v>2007</v>
      </c>
      <c r="U27" s="12">
        <v>1882</v>
      </c>
      <c r="V27" s="12">
        <v>1810</v>
      </c>
      <c r="W27" s="12">
        <v>1705</v>
      </c>
      <c r="X27" s="12">
        <v>1776</v>
      </c>
      <c r="Y27" s="12">
        <v>6.51</v>
      </c>
      <c r="Z27" s="12">
        <v>6.53</v>
      </c>
      <c r="AA27" s="12">
        <v>6.53</v>
      </c>
      <c r="AB27" s="13">
        <v>6.16</v>
      </c>
      <c r="AC27" s="13">
        <v>6.18</v>
      </c>
      <c r="AD27" s="13">
        <v>6.18</v>
      </c>
      <c r="AE27" s="35" t="s">
        <v>258</v>
      </c>
      <c r="AF27" s="35" t="s">
        <v>258</v>
      </c>
      <c r="AG27" s="35" t="s">
        <v>258</v>
      </c>
      <c r="AH27" s="38">
        <v>1</v>
      </c>
      <c r="AI27" s="38">
        <v>1</v>
      </c>
      <c r="AJ27" s="38">
        <v>1</v>
      </c>
      <c r="AK27" s="45" t="s">
        <v>34</v>
      </c>
      <c r="AL27" s="45" t="s">
        <v>34</v>
      </c>
      <c r="AM27" s="45" t="s">
        <v>34</v>
      </c>
      <c r="AN27" s="45" t="s">
        <v>34</v>
      </c>
      <c r="AO27" s="45" t="s">
        <v>34</v>
      </c>
      <c r="AP27" s="45" t="s">
        <v>292</v>
      </c>
      <c r="AQ27" s="53" t="s">
        <v>297</v>
      </c>
      <c r="AR27" s="56">
        <v>131</v>
      </c>
      <c r="AS27" s="57">
        <v>58</v>
      </c>
      <c r="AT27" s="56">
        <v>36</v>
      </c>
      <c r="AU27" s="57">
        <v>11208</v>
      </c>
      <c r="AV27" s="57">
        <v>5116</v>
      </c>
      <c r="AW27" s="57">
        <v>1990</v>
      </c>
      <c r="AX27" s="57">
        <v>29</v>
      </c>
      <c r="AY27" s="57">
        <v>19</v>
      </c>
      <c r="AZ27" s="57">
        <v>17</v>
      </c>
      <c r="BA27" s="57">
        <v>0</v>
      </c>
      <c r="BB27" s="57">
        <v>0</v>
      </c>
      <c r="BC27" s="57">
        <v>0</v>
      </c>
      <c r="BD27" s="57">
        <v>1513</v>
      </c>
      <c r="BE27" s="57">
        <v>2270</v>
      </c>
      <c r="BF27" s="57">
        <v>2566</v>
      </c>
      <c r="BG27" s="57">
        <v>139</v>
      </c>
      <c r="BH27" s="57">
        <v>458</v>
      </c>
      <c r="BI27" s="57">
        <v>889</v>
      </c>
      <c r="BJ27" s="57" t="s">
        <v>296</v>
      </c>
      <c r="BK27" s="57">
        <v>26</v>
      </c>
      <c r="BL27" s="57">
        <v>0</v>
      </c>
      <c r="BM27" s="57">
        <v>1</v>
      </c>
      <c r="BN27" s="57">
        <v>374</v>
      </c>
      <c r="BO27" s="57">
        <v>1043</v>
      </c>
      <c r="BP27" s="57">
        <v>395</v>
      </c>
      <c r="BQ27" s="76">
        <v>588</v>
      </c>
      <c r="BR27" s="76">
        <v>575</v>
      </c>
      <c r="BS27">
        <v>554</v>
      </c>
      <c r="BT27">
        <v>554</v>
      </c>
      <c r="BU27">
        <v>544</v>
      </c>
      <c r="BV27">
        <v>60584</v>
      </c>
      <c r="BW27">
        <v>59722</v>
      </c>
      <c r="BX27">
        <v>59068</v>
      </c>
      <c r="BY27">
        <v>58408</v>
      </c>
      <c r="BZ27">
        <v>57209</v>
      </c>
      <c r="CA27">
        <v>107</v>
      </c>
      <c r="CB27">
        <v>100</v>
      </c>
      <c r="CC27">
        <v>79</v>
      </c>
      <c r="CD27">
        <v>76</v>
      </c>
      <c r="CE27">
        <v>60</v>
      </c>
      <c r="CF27">
        <v>7915</v>
      </c>
      <c r="CG27">
        <v>7457</v>
      </c>
      <c r="CH27">
        <v>5629</v>
      </c>
      <c r="CI27">
        <v>5628</v>
      </c>
      <c r="CJ27">
        <v>5227</v>
      </c>
      <c r="CK27" s="10">
        <v>19.25</v>
      </c>
      <c r="CL27" s="10">
        <v>19.350000000000001</v>
      </c>
      <c r="CM27" s="10">
        <v>19.350000000000001</v>
      </c>
      <c r="CN27" s="11">
        <v>20.309999999999999</v>
      </c>
      <c r="CO27" s="11">
        <v>20.309999999999999</v>
      </c>
      <c r="CP27" s="11">
        <v>20.309999999999999</v>
      </c>
      <c r="CQ27" s="13">
        <v>35</v>
      </c>
      <c r="CR27" s="13">
        <v>20</v>
      </c>
      <c r="CS27" s="13">
        <v>3</v>
      </c>
      <c r="CT27" s="10">
        <v>0</v>
      </c>
      <c r="CU27" s="10">
        <v>0</v>
      </c>
      <c r="CV27" s="10">
        <v>5</v>
      </c>
      <c r="CW27" s="10">
        <v>3</v>
      </c>
      <c r="CX27" s="10">
        <v>9</v>
      </c>
      <c r="CY27" s="10">
        <v>0</v>
      </c>
      <c r="CZ27" s="10">
        <v>0</v>
      </c>
      <c r="DA27" s="10">
        <v>0</v>
      </c>
      <c r="DB27" s="10">
        <v>2</v>
      </c>
      <c r="DC27" s="10">
        <v>0</v>
      </c>
      <c r="DD27" s="10">
        <v>1</v>
      </c>
      <c r="DE27" s="10">
        <v>0</v>
      </c>
      <c r="DF27" s="10">
        <v>1</v>
      </c>
      <c r="DG27" s="10">
        <v>0</v>
      </c>
      <c r="DH27" s="10">
        <v>4</v>
      </c>
      <c r="DI27" s="81">
        <v>1</v>
      </c>
      <c r="DJ27" s="81">
        <v>3</v>
      </c>
      <c r="DK27" s="81">
        <v>5</v>
      </c>
      <c r="DL27" s="81">
        <v>0</v>
      </c>
      <c r="DM27" s="81">
        <v>2</v>
      </c>
      <c r="DN27" s="12">
        <v>7</v>
      </c>
      <c r="DO27" s="12">
        <v>3</v>
      </c>
      <c r="DP27" s="12">
        <v>0</v>
      </c>
      <c r="DQ27" s="12">
        <v>2</v>
      </c>
      <c r="DR27" s="12">
        <v>0</v>
      </c>
      <c r="DS27" s="12">
        <v>3</v>
      </c>
      <c r="DT27" s="12">
        <v>0</v>
      </c>
      <c r="DU27" s="12">
        <v>0</v>
      </c>
      <c r="DV27" s="12">
        <v>6</v>
      </c>
      <c r="DW27" s="12">
        <v>4</v>
      </c>
      <c r="DX27" s="12">
        <v>1</v>
      </c>
      <c r="DY27" s="12">
        <v>8</v>
      </c>
      <c r="DZ27" s="12">
        <v>4</v>
      </c>
      <c r="EA27" s="12">
        <v>0</v>
      </c>
      <c r="EB27" s="12">
        <v>16</v>
      </c>
      <c r="EC27" s="12">
        <v>0</v>
      </c>
      <c r="ED27" s="12">
        <v>16</v>
      </c>
      <c r="EE27" s="12">
        <v>1</v>
      </c>
      <c r="EF27" s="12">
        <v>10</v>
      </c>
      <c r="EG27" s="12">
        <v>0</v>
      </c>
      <c r="EH27" s="12">
        <v>0</v>
      </c>
      <c r="EI27" s="12">
        <v>0</v>
      </c>
      <c r="EJ27" s="12">
        <v>0</v>
      </c>
      <c r="EK27" s="12">
        <v>5</v>
      </c>
      <c r="EL27" s="12">
        <v>15</v>
      </c>
      <c r="EM27" s="12">
        <v>0</v>
      </c>
      <c r="EN27" s="12">
        <v>6</v>
      </c>
      <c r="EO27" s="12">
        <v>0</v>
      </c>
      <c r="EP27" s="12">
        <v>4</v>
      </c>
      <c r="EQ27" s="12">
        <v>7</v>
      </c>
      <c r="ER27" s="12">
        <v>1</v>
      </c>
      <c r="ES27" s="13">
        <v>19</v>
      </c>
      <c r="ET27" s="13">
        <v>18</v>
      </c>
      <c r="EU27" s="13">
        <v>0</v>
      </c>
      <c r="EV27" s="10">
        <v>0</v>
      </c>
      <c r="EW27" s="10">
        <v>0</v>
      </c>
      <c r="EX27" s="10">
        <v>5</v>
      </c>
      <c r="EY27" s="10">
        <v>0</v>
      </c>
      <c r="EZ27" s="10">
        <v>1</v>
      </c>
      <c r="FA27" s="10">
        <v>0</v>
      </c>
      <c r="FB27" s="10">
        <v>0</v>
      </c>
      <c r="FC27" s="10">
        <v>0</v>
      </c>
      <c r="FD27" s="10">
        <v>2</v>
      </c>
      <c r="FE27" s="10">
        <v>0</v>
      </c>
      <c r="FF27" s="10">
        <v>0</v>
      </c>
      <c r="FG27" s="10">
        <v>0</v>
      </c>
      <c r="FH27" s="10">
        <v>0</v>
      </c>
      <c r="FI27" s="10">
        <v>0</v>
      </c>
      <c r="FJ27" s="10">
        <v>0</v>
      </c>
      <c r="FK27" s="81">
        <v>0</v>
      </c>
      <c r="FL27" s="81">
        <v>2</v>
      </c>
      <c r="FM27" s="81">
        <v>2</v>
      </c>
      <c r="FN27" s="81">
        <v>0</v>
      </c>
      <c r="FO27" s="81">
        <v>5</v>
      </c>
      <c r="FP27" s="12">
        <v>0</v>
      </c>
      <c r="FQ27" s="12">
        <v>0</v>
      </c>
      <c r="FR27" s="12">
        <v>0</v>
      </c>
      <c r="FS27" s="12">
        <v>1</v>
      </c>
      <c r="FT27" s="12">
        <v>0</v>
      </c>
      <c r="FU27" s="12">
        <v>0</v>
      </c>
      <c r="FV27" s="12">
        <v>2</v>
      </c>
      <c r="FW27" s="12">
        <v>0</v>
      </c>
      <c r="FX27" s="12">
        <v>3</v>
      </c>
      <c r="FY27" s="12">
        <v>1</v>
      </c>
      <c r="FZ27" s="12">
        <v>0</v>
      </c>
      <c r="GA27" s="12">
        <v>0</v>
      </c>
      <c r="GB27" s="12">
        <v>1</v>
      </c>
      <c r="GC27" s="12">
        <v>0</v>
      </c>
      <c r="GD27" s="12">
        <v>15</v>
      </c>
      <c r="GE27" s="12">
        <v>0</v>
      </c>
      <c r="GF27" s="12">
        <v>2</v>
      </c>
      <c r="GG27" s="12">
        <v>3</v>
      </c>
      <c r="GH27" s="12">
        <v>0</v>
      </c>
      <c r="GI27" s="12">
        <v>0</v>
      </c>
      <c r="GJ27" s="12">
        <v>0</v>
      </c>
      <c r="GK27" s="12">
        <v>0</v>
      </c>
      <c r="GL27" s="12">
        <v>0</v>
      </c>
      <c r="GM27" s="12">
        <v>0</v>
      </c>
      <c r="GN27" s="12">
        <v>2</v>
      </c>
      <c r="GO27" s="12">
        <v>0</v>
      </c>
      <c r="GP27" s="12">
        <v>0</v>
      </c>
      <c r="GQ27" s="12">
        <v>0</v>
      </c>
      <c r="GR27" s="12">
        <v>0</v>
      </c>
      <c r="GS27" s="12">
        <v>0</v>
      </c>
      <c r="GT27" s="12">
        <v>0</v>
      </c>
      <c r="GU27" s="13">
        <v>58</v>
      </c>
      <c r="GV27" s="13">
        <v>12</v>
      </c>
      <c r="GW27" s="13">
        <v>10</v>
      </c>
      <c r="GX27" s="13">
        <v>0</v>
      </c>
      <c r="GY27" s="10">
        <v>0</v>
      </c>
      <c r="GZ27" s="10">
        <v>0</v>
      </c>
      <c r="HA27" s="10">
        <v>2</v>
      </c>
      <c r="HB27" s="10">
        <v>0</v>
      </c>
      <c r="HC27" s="10">
        <v>12</v>
      </c>
      <c r="HD27" s="10">
        <v>0</v>
      </c>
      <c r="HE27" s="10">
        <v>0</v>
      </c>
      <c r="HF27" s="10">
        <v>0</v>
      </c>
      <c r="HG27" s="10">
        <v>0</v>
      </c>
      <c r="HH27" s="10">
        <v>0</v>
      </c>
      <c r="HI27" s="10">
        <v>0</v>
      </c>
      <c r="HJ27" s="10">
        <v>0</v>
      </c>
      <c r="HK27" s="10">
        <v>0</v>
      </c>
      <c r="HL27" s="10">
        <v>0</v>
      </c>
      <c r="HM27" s="10">
        <v>0</v>
      </c>
      <c r="HN27" s="81">
        <v>0</v>
      </c>
      <c r="HO27" s="81">
        <v>1</v>
      </c>
      <c r="HP27" s="81">
        <v>0</v>
      </c>
      <c r="HQ27" s="81">
        <v>0</v>
      </c>
      <c r="HR27" s="81">
        <v>0</v>
      </c>
      <c r="HS27" s="12">
        <v>0</v>
      </c>
      <c r="HT27" s="12">
        <v>0</v>
      </c>
      <c r="HU27" s="12">
        <v>0</v>
      </c>
      <c r="HV27" s="12">
        <v>0</v>
      </c>
      <c r="HW27" s="12">
        <v>0</v>
      </c>
      <c r="HX27" s="12">
        <v>0</v>
      </c>
      <c r="HY27" s="12">
        <v>0</v>
      </c>
      <c r="HZ27" s="12">
        <v>0</v>
      </c>
      <c r="IA27" s="12">
        <v>0</v>
      </c>
      <c r="IB27" s="12">
        <v>1</v>
      </c>
      <c r="IC27" s="12">
        <v>0</v>
      </c>
      <c r="ID27" s="12">
        <v>0</v>
      </c>
      <c r="IE27" s="12">
        <v>1</v>
      </c>
      <c r="IF27" s="12">
        <v>0</v>
      </c>
      <c r="IG27" s="12">
        <v>6</v>
      </c>
      <c r="IH27" s="12">
        <v>0</v>
      </c>
      <c r="II27" s="12">
        <v>4</v>
      </c>
      <c r="IJ27" s="12">
        <v>0</v>
      </c>
      <c r="IK27" s="12">
        <v>2</v>
      </c>
      <c r="IL27" s="12">
        <v>0</v>
      </c>
      <c r="IM27" s="12">
        <v>0</v>
      </c>
      <c r="IN27" s="12">
        <v>0</v>
      </c>
      <c r="IO27" s="12">
        <v>0</v>
      </c>
      <c r="IP27" s="12">
        <v>0</v>
      </c>
      <c r="IQ27" s="12">
        <v>1</v>
      </c>
      <c r="IR27" s="12">
        <v>0</v>
      </c>
      <c r="IS27" s="12">
        <v>1</v>
      </c>
      <c r="IT27" s="12">
        <v>0</v>
      </c>
      <c r="IU27" s="12">
        <v>0</v>
      </c>
      <c r="IV27" s="12">
        <v>0</v>
      </c>
      <c r="IW27" s="12">
        <v>0</v>
      </c>
      <c r="IX27" s="11">
        <v>52000</v>
      </c>
      <c r="IY27" s="11">
        <v>52000</v>
      </c>
      <c r="IZ27" s="11">
        <v>52000</v>
      </c>
      <c r="JA27" s="85" t="s">
        <v>603</v>
      </c>
      <c r="JB27" s="85" t="s">
        <v>604</v>
      </c>
      <c r="JC27" s="85" t="s">
        <v>604</v>
      </c>
      <c r="JD27" s="12">
        <v>12</v>
      </c>
      <c r="JE27" s="12">
        <v>11</v>
      </c>
      <c r="JF27" s="12">
        <v>12</v>
      </c>
      <c r="JG27" s="12">
        <v>12</v>
      </c>
      <c r="JH27" s="12">
        <v>12</v>
      </c>
      <c r="JI27" s="12">
        <v>12</v>
      </c>
      <c r="JJ27" s="13" t="s">
        <v>619</v>
      </c>
      <c r="JK27" s="13" t="s">
        <v>620</v>
      </c>
      <c r="JL27" s="13" t="s">
        <v>297</v>
      </c>
      <c r="JM27" s="89"/>
      <c r="JN27" s="89"/>
      <c r="JO27" s="89" t="s">
        <v>296</v>
      </c>
      <c r="JP27" s="89"/>
      <c r="JQ27" s="89"/>
      <c r="JR27" s="89" t="s">
        <v>296</v>
      </c>
      <c r="JS27" s="89" t="s">
        <v>619</v>
      </c>
      <c r="JT27" s="89" t="s">
        <v>619</v>
      </c>
      <c r="JU27" s="89" t="s">
        <v>296</v>
      </c>
      <c r="JV27" s="89"/>
      <c r="JW27" s="89"/>
      <c r="JX27" s="89" t="s">
        <v>297</v>
      </c>
      <c r="JY27" s="12" t="s">
        <v>619</v>
      </c>
      <c r="JZ27" s="12" t="s">
        <v>34</v>
      </c>
      <c r="KA27" s="12" t="s">
        <v>34</v>
      </c>
      <c r="KB27" s="12" t="s">
        <v>34</v>
      </c>
      <c r="KC27" s="12" t="s">
        <v>619</v>
      </c>
      <c r="KD27" s="12" t="s">
        <v>619</v>
      </c>
      <c r="KE27" s="12" t="s">
        <v>34</v>
      </c>
      <c r="KF27" s="12"/>
      <c r="KG27" s="12" t="s">
        <v>34</v>
      </c>
      <c r="KH27" s="12" t="s">
        <v>34</v>
      </c>
      <c r="KI27" s="12" t="s">
        <v>619</v>
      </c>
      <c r="KJ27" s="12" t="s">
        <v>619</v>
      </c>
      <c r="KK27" s="12" t="s">
        <v>34</v>
      </c>
      <c r="KL27" s="12" t="s">
        <v>34</v>
      </c>
      <c r="KM27" s="12" t="s">
        <v>619</v>
      </c>
      <c r="KN27" s="12" t="s">
        <v>619</v>
      </c>
      <c r="KO27" s="12" t="s">
        <v>34</v>
      </c>
      <c r="KP27" s="12" t="s">
        <v>34</v>
      </c>
      <c r="KQ27" s="12" t="s">
        <v>619</v>
      </c>
      <c r="KR27" s="12" t="s">
        <v>619</v>
      </c>
      <c r="KS27" s="12" t="s">
        <v>34</v>
      </c>
      <c r="KT27" s="12" t="s">
        <v>34</v>
      </c>
      <c r="KU27" s="12" t="s">
        <v>619</v>
      </c>
      <c r="KV27" s="12" t="s">
        <v>34</v>
      </c>
      <c r="KW27" s="12" t="s">
        <v>34</v>
      </c>
      <c r="KX27" s="12" t="s">
        <v>34</v>
      </c>
      <c r="KY27" s="12" t="s">
        <v>34</v>
      </c>
      <c r="KZ27" s="12" t="s">
        <v>34</v>
      </c>
      <c r="LA27" s="12" t="s">
        <v>34</v>
      </c>
      <c r="LB27" s="12" t="s">
        <v>619</v>
      </c>
      <c r="LC27" s="12" t="s">
        <v>619</v>
      </c>
      <c r="LD27" s="12" t="s">
        <v>619</v>
      </c>
      <c r="LE27" s="12" t="s">
        <v>34</v>
      </c>
      <c r="LF27" s="12" t="s">
        <v>34</v>
      </c>
      <c r="LG27" s="12" t="s">
        <v>34</v>
      </c>
      <c r="LH27" s="12" t="s">
        <v>619</v>
      </c>
      <c r="LI27" s="12" t="s">
        <v>619</v>
      </c>
      <c r="LJ27" s="12" t="s">
        <v>619</v>
      </c>
      <c r="LK27" s="12" t="s">
        <v>619</v>
      </c>
      <c r="LL27" s="13" t="s">
        <v>619</v>
      </c>
      <c r="LM27" s="13" t="s">
        <v>34</v>
      </c>
      <c r="LN27" s="13" t="s">
        <v>34</v>
      </c>
      <c r="LO27" s="13" t="s">
        <v>34</v>
      </c>
      <c r="LP27" s="90" t="s">
        <v>34</v>
      </c>
      <c r="LQ27" s="13" t="s">
        <v>34</v>
      </c>
      <c r="LR27" s="13" t="s">
        <v>34</v>
      </c>
      <c r="LS27" s="13"/>
      <c r="LT27" s="13" t="s">
        <v>34</v>
      </c>
      <c r="LU27" s="13" t="s">
        <v>34</v>
      </c>
      <c r="LV27" s="13" t="s">
        <v>34</v>
      </c>
      <c r="LW27" s="13" t="s">
        <v>34</v>
      </c>
      <c r="LX27" s="13" t="s">
        <v>34</v>
      </c>
      <c r="LY27" s="13" t="s">
        <v>34</v>
      </c>
      <c r="LZ27" s="13" t="s">
        <v>619</v>
      </c>
      <c r="MA27" s="13" t="s">
        <v>619</v>
      </c>
      <c r="MB27" s="13" t="s">
        <v>34</v>
      </c>
      <c r="MC27" s="13" t="s">
        <v>34</v>
      </c>
      <c r="MD27" s="13" t="s">
        <v>619</v>
      </c>
      <c r="ME27" s="13" t="s">
        <v>34</v>
      </c>
      <c r="MF27" s="13" t="s">
        <v>34</v>
      </c>
      <c r="MG27" s="13" t="s">
        <v>34</v>
      </c>
      <c r="MH27" s="13" t="s">
        <v>34</v>
      </c>
      <c r="MI27" s="13" t="s">
        <v>34</v>
      </c>
      <c r="MJ27" s="13" t="s">
        <v>34</v>
      </c>
      <c r="MK27" s="13" t="s">
        <v>34</v>
      </c>
      <c r="ML27" s="13" t="s">
        <v>34</v>
      </c>
      <c r="MM27" s="13" t="s">
        <v>34</v>
      </c>
      <c r="MN27" s="13" t="s">
        <v>34</v>
      </c>
      <c r="MO27" s="13" t="s">
        <v>619</v>
      </c>
      <c r="MP27" s="13" t="s">
        <v>619</v>
      </c>
      <c r="MQ27" s="13" t="s">
        <v>34</v>
      </c>
      <c r="MR27" s="13" t="s">
        <v>34</v>
      </c>
      <c r="MS27" s="13" t="s">
        <v>34</v>
      </c>
      <c r="MT27" s="13" t="s">
        <v>34</v>
      </c>
      <c r="MU27" s="13" t="s">
        <v>34</v>
      </c>
      <c r="MV27" s="13" t="s">
        <v>619</v>
      </c>
      <c r="MW27" s="13" t="s">
        <v>34</v>
      </c>
      <c r="MX27" s="13" t="s">
        <v>34</v>
      </c>
      <c r="MY27" s="28" t="s">
        <v>296</v>
      </c>
      <c r="MZ27" s="28" t="s">
        <v>296</v>
      </c>
      <c r="NA27" s="28" t="s">
        <v>296</v>
      </c>
      <c r="NB27" s="28" t="s">
        <v>296</v>
      </c>
      <c r="NC27" s="28" t="s">
        <v>296</v>
      </c>
      <c r="ND27" s="28" t="s">
        <v>296</v>
      </c>
      <c r="NE27" s="28" t="s">
        <v>296</v>
      </c>
      <c r="NF27" s="28" t="s">
        <v>297</v>
      </c>
      <c r="NG27" s="28" t="s">
        <v>297</v>
      </c>
      <c r="NH27" s="28" t="s">
        <v>297</v>
      </c>
      <c r="NI27" s="177" t="s">
        <v>296</v>
      </c>
      <c r="NJ27" s="177" t="s">
        <v>297</v>
      </c>
      <c r="NK27" s="177" t="s">
        <v>296</v>
      </c>
      <c r="NL27" s="177" t="s">
        <v>297</v>
      </c>
      <c r="NM27" s="177" t="s">
        <v>296</v>
      </c>
      <c r="NN27" s="177" t="s">
        <v>296</v>
      </c>
      <c r="NO27" s="177" t="s">
        <v>296</v>
      </c>
      <c r="NP27" s="177" t="s">
        <v>296</v>
      </c>
      <c r="NQ27" s="177" t="s">
        <v>296</v>
      </c>
      <c r="NR27" s="12" t="s">
        <v>34</v>
      </c>
      <c r="NS27" s="13" t="s">
        <v>34</v>
      </c>
    </row>
    <row r="28" spans="1:383" x14ac:dyDescent="0.25">
      <c r="A28" s="8" t="s">
        <v>94</v>
      </c>
      <c r="B28" s="9" t="s">
        <v>95</v>
      </c>
      <c r="C28" s="9">
        <v>24</v>
      </c>
      <c r="D28" s="9" t="s">
        <v>75</v>
      </c>
      <c r="E28" s="10">
        <v>87</v>
      </c>
      <c r="F28" s="10">
        <v>77</v>
      </c>
      <c r="G28" s="10">
        <v>75</v>
      </c>
      <c r="H28" s="10">
        <v>68</v>
      </c>
      <c r="I28" s="10">
        <v>56</v>
      </c>
      <c r="J28" s="11">
        <v>378</v>
      </c>
      <c r="K28" s="11">
        <v>325</v>
      </c>
      <c r="L28" s="11">
        <v>329</v>
      </c>
      <c r="M28" s="11">
        <v>303</v>
      </c>
      <c r="N28" s="11">
        <v>224</v>
      </c>
      <c r="O28" s="13">
        <v>5955</v>
      </c>
      <c r="P28" s="13">
        <v>5077</v>
      </c>
      <c r="Q28" s="13">
        <v>5041</v>
      </c>
      <c r="R28" s="13">
        <v>4505</v>
      </c>
      <c r="S28" s="13">
        <v>3490</v>
      </c>
      <c r="T28" s="12">
        <v>2580</v>
      </c>
      <c r="U28" s="12">
        <v>2100</v>
      </c>
      <c r="V28" s="12">
        <v>2063</v>
      </c>
      <c r="W28" s="12">
        <v>1984</v>
      </c>
      <c r="X28" s="12">
        <v>1176</v>
      </c>
      <c r="Y28" s="12">
        <v>6.3</v>
      </c>
      <c r="Z28" s="12">
        <v>6.3</v>
      </c>
      <c r="AA28" s="12">
        <v>6.3</v>
      </c>
      <c r="AB28" s="13">
        <v>5.7</v>
      </c>
      <c r="AC28" s="13">
        <v>5.7</v>
      </c>
      <c r="AD28" s="13">
        <v>5.7</v>
      </c>
      <c r="AE28" s="35" t="s">
        <v>258</v>
      </c>
      <c r="AF28" s="35" t="s">
        <v>258</v>
      </c>
      <c r="AG28" s="35" t="s">
        <v>258</v>
      </c>
      <c r="AH28" s="38">
        <v>0.5</v>
      </c>
      <c r="AI28" s="38">
        <v>0.5</v>
      </c>
      <c r="AJ28" s="38">
        <v>0.5</v>
      </c>
      <c r="AK28" s="45" t="s">
        <v>34</v>
      </c>
      <c r="AL28" s="45" t="s">
        <v>34</v>
      </c>
      <c r="AM28" s="45" t="s">
        <v>34</v>
      </c>
      <c r="AN28" s="45" t="s">
        <v>293</v>
      </c>
      <c r="AO28" s="45" t="s">
        <v>34</v>
      </c>
      <c r="AP28" s="45" t="s">
        <v>34</v>
      </c>
      <c r="AQ28" s="53" t="s">
        <v>297</v>
      </c>
      <c r="AR28" s="56">
        <v>170</v>
      </c>
      <c r="AS28" s="57">
        <v>70</v>
      </c>
      <c r="AT28" s="56">
        <v>154</v>
      </c>
      <c r="AU28" s="57">
        <v>18583</v>
      </c>
      <c r="AV28" s="57">
        <v>7059</v>
      </c>
      <c r="AW28" s="57">
        <v>7054</v>
      </c>
      <c r="AX28" s="57">
        <v>5</v>
      </c>
      <c r="AY28" s="57">
        <v>17</v>
      </c>
      <c r="AZ28" s="57">
        <v>30</v>
      </c>
      <c r="BA28" s="57">
        <v>1376</v>
      </c>
      <c r="BB28" s="57">
        <v>2200</v>
      </c>
      <c r="BC28" s="57">
        <v>5739</v>
      </c>
      <c r="BD28" s="57">
        <v>2460</v>
      </c>
      <c r="BE28" s="57">
        <v>2594</v>
      </c>
      <c r="BF28" s="57">
        <v>3011</v>
      </c>
      <c r="BG28" s="57">
        <v>2224</v>
      </c>
      <c r="BH28" s="57">
        <v>2162</v>
      </c>
      <c r="BI28" s="57">
        <v>2929</v>
      </c>
      <c r="BJ28" s="57" t="s">
        <v>296</v>
      </c>
      <c r="BK28" s="57">
        <v>5</v>
      </c>
      <c r="BL28" s="57">
        <v>10</v>
      </c>
      <c r="BM28" s="57">
        <v>1</v>
      </c>
      <c r="BN28" s="57">
        <v>1500</v>
      </c>
      <c r="BO28" s="57">
        <v>1799</v>
      </c>
      <c r="BP28" s="57">
        <v>146</v>
      </c>
      <c r="BQ28" s="76">
        <v>348</v>
      </c>
      <c r="BR28" s="76">
        <v>339</v>
      </c>
      <c r="BS28">
        <v>328</v>
      </c>
      <c r="BT28">
        <v>328</v>
      </c>
      <c r="BU28">
        <v>325</v>
      </c>
      <c r="BV28">
        <v>42059</v>
      </c>
      <c r="BW28">
        <v>41365</v>
      </c>
      <c r="BX28">
        <v>40908</v>
      </c>
      <c r="BY28">
        <v>40411</v>
      </c>
      <c r="BZ28">
        <v>39749</v>
      </c>
      <c r="CA28">
        <v>139</v>
      </c>
      <c r="CB28">
        <v>87</v>
      </c>
      <c r="CC28">
        <v>132</v>
      </c>
      <c r="CD28">
        <v>132</v>
      </c>
      <c r="CE28">
        <v>85</v>
      </c>
      <c r="CF28">
        <v>8535</v>
      </c>
      <c r="CG28">
        <v>7177</v>
      </c>
      <c r="CH28">
        <v>7104</v>
      </c>
      <c r="CI28">
        <v>6489</v>
      </c>
      <c r="CJ28">
        <v>4666</v>
      </c>
      <c r="CK28" s="10">
        <v>49.9</v>
      </c>
      <c r="CL28" s="10">
        <v>49.9</v>
      </c>
      <c r="CM28" s="10">
        <v>49.9</v>
      </c>
      <c r="CN28" s="11">
        <v>20.399999999999999</v>
      </c>
      <c r="CO28" s="11">
        <v>20.399999999999999</v>
      </c>
      <c r="CP28" s="11">
        <v>20.399999999999999</v>
      </c>
      <c r="CQ28" s="13">
        <v>37</v>
      </c>
      <c r="CR28" s="13">
        <v>24</v>
      </c>
      <c r="CS28" s="13">
        <v>7</v>
      </c>
      <c r="CT28" s="10">
        <v>0</v>
      </c>
      <c r="CU28" s="10">
        <v>1</v>
      </c>
      <c r="CV28" s="10">
        <v>11</v>
      </c>
      <c r="CW28" s="10">
        <v>9</v>
      </c>
      <c r="CX28" s="10">
        <v>9</v>
      </c>
      <c r="CY28" s="10">
        <v>0</v>
      </c>
      <c r="CZ28" s="10">
        <v>0</v>
      </c>
      <c r="DA28" s="10">
        <v>0</v>
      </c>
      <c r="DB28" s="10">
        <v>9</v>
      </c>
      <c r="DC28" s="10">
        <v>3</v>
      </c>
      <c r="DD28" s="10">
        <v>2</v>
      </c>
      <c r="DE28" s="10">
        <v>0</v>
      </c>
      <c r="DF28" s="10">
        <v>4</v>
      </c>
      <c r="DG28" s="10">
        <v>0</v>
      </c>
      <c r="DH28" s="10">
        <v>10</v>
      </c>
      <c r="DI28" s="81">
        <v>0</v>
      </c>
      <c r="DJ28" s="81">
        <v>0</v>
      </c>
      <c r="DK28" s="81">
        <v>14</v>
      </c>
      <c r="DL28" s="81">
        <v>0</v>
      </c>
      <c r="DM28" s="81">
        <v>0</v>
      </c>
      <c r="DN28" s="12">
        <v>0</v>
      </c>
      <c r="DO28" s="12">
        <v>3</v>
      </c>
      <c r="DP28" s="12">
        <v>3</v>
      </c>
      <c r="DQ28" s="12">
        <v>0</v>
      </c>
      <c r="DR28" s="12">
        <v>0</v>
      </c>
      <c r="DS28" s="12">
        <v>0</v>
      </c>
      <c r="DT28" s="12">
        <v>0</v>
      </c>
      <c r="DU28" s="12">
        <v>0</v>
      </c>
      <c r="DV28" s="12">
        <v>17</v>
      </c>
      <c r="DW28" s="12">
        <v>2</v>
      </c>
      <c r="DX28" s="12">
        <v>4</v>
      </c>
      <c r="DY28" s="12">
        <v>1</v>
      </c>
      <c r="DZ28" s="12">
        <v>1</v>
      </c>
      <c r="EA28" s="12">
        <v>0</v>
      </c>
      <c r="EB28" s="12">
        <v>16</v>
      </c>
      <c r="EC28" s="12">
        <v>0</v>
      </c>
      <c r="ED28" s="12">
        <v>14</v>
      </c>
      <c r="EE28" s="12">
        <v>3</v>
      </c>
      <c r="EF28" s="12">
        <v>4</v>
      </c>
      <c r="EG28" s="12">
        <v>0</v>
      </c>
      <c r="EH28" s="12">
        <v>0</v>
      </c>
      <c r="EI28" s="12">
        <v>0</v>
      </c>
      <c r="EJ28" s="12">
        <v>0</v>
      </c>
      <c r="EK28" s="12">
        <v>0</v>
      </c>
      <c r="EL28" s="12">
        <v>6</v>
      </c>
      <c r="EM28" s="12">
        <v>3</v>
      </c>
      <c r="EN28" s="12">
        <v>0</v>
      </c>
      <c r="EO28" s="12">
        <v>0</v>
      </c>
      <c r="EP28" s="12">
        <v>2</v>
      </c>
      <c r="EQ28" s="12">
        <v>6</v>
      </c>
      <c r="ER28" s="12">
        <v>2</v>
      </c>
      <c r="ES28" s="17">
        <v>12</v>
      </c>
      <c r="ET28" s="17">
        <v>20</v>
      </c>
      <c r="EU28" s="17">
        <v>0</v>
      </c>
      <c r="EV28" s="17">
        <v>0</v>
      </c>
      <c r="EW28" s="17">
        <v>0</v>
      </c>
      <c r="EX28" s="17">
        <v>8</v>
      </c>
      <c r="EY28" s="17">
        <v>6</v>
      </c>
      <c r="EZ28" s="17">
        <v>0</v>
      </c>
      <c r="FA28" s="17">
        <v>0</v>
      </c>
      <c r="FB28" s="17">
        <v>0</v>
      </c>
      <c r="FC28" s="17">
        <v>0</v>
      </c>
      <c r="FD28" s="17">
        <v>0</v>
      </c>
      <c r="FE28" s="17">
        <v>0</v>
      </c>
      <c r="FF28" s="17">
        <v>0</v>
      </c>
      <c r="FG28" s="17">
        <v>0</v>
      </c>
      <c r="FH28" s="17">
        <v>0</v>
      </c>
      <c r="FI28" s="17">
        <v>0</v>
      </c>
      <c r="FJ28" s="17">
        <v>7</v>
      </c>
      <c r="FK28" s="82">
        <v>10</v>
      </c>
      <c r="FL28" s="82">
        <v>9</v>
      </c>
      <c r="FM28" s="82">
        <v>12</v>
      </c>
      <c r="FN28" s="82">
        <v>0</v>
      </c>
      <c r="FO28" s="82">
        <v>0</v>
      </c>
      <c r="FP28" s="17">
        <v>0</v>
      </c>
      <c r="FQ28" s="17">
        <v>0</v>
      </c>
      <c r="FR28" s="17">
        <v>0</v>
      </c>
      <c r="FS28" s="17">
        <v>0</v>
      </c>
      <c r="FT28" s="17">
        <v>0</v>
      </c>
      <c r="FU28" s="17">
        <v>1</v>
      </c>
      <c r="FV28" s="17">
        <v>0</v>
      </c>
      <c r="FW28" s="17">
        <v>0</v>
      </c>
      <c r="FX28" s="17">
        <v>16</v>
      </c>
      <c r="FY28" s="17">
        <v>0</v>
      </c>
      <c r="FZ28" s="17">
        <v>0</v>
      </c>
      <c r="GA28" s="17">
        <v>0</v>
      </c>
      <c r="GB28" s="17">
        <v>0</v>
      </c>
      <c r="GC28" s="17">
        <v>0</v>
      </c>
      <c r="GD28" s="17">
        <v>2</v>
      </c>
      <c r="GE28" s="17">
        <v>0</v>
      </c>
      <c r="GF28" s="17">
        <v>2</v>
      </c>
      <c r="GG28" s="17">
        <v>3</v>
      </c>
      <c r="GH28" s="17">
        <v>0</v>
      </c>
      <c r="GI28" s="17">
        <v>0</v>
      </c>
      <c r="GJ28" s="17">
        <v>0</v>
      </c>
      <c r="GK28" s="17">
        <v>0</v>
      </c>
      <c r="GL28" s="17">
        <v>0</v>
      </c>
      <c r="GM28" s="17">
        <v>0</v>
      </c>
      <c r="GN28" s="17">
        <v>0</v>
      </c>
      <c r="GO28" s="17">
        <v>1</v>
      </c>
      <c r="GP28" s="12">
        <v>0</v>
      </c>
      <c r="GQ28" s="12">
        <v>0</v>
      </c>
      <c r="GR28" s="12">
        <v>0</v>
      </c>
      <c r="GS28" s="12">
        <v>0</v>
      </c>
      <c r="GT28" s="12">
        <v>0</v>
      </c>
      <c r="GU28" s="13">
        <v>70</v>
      </c>
      <c r="GV28" s="17">
        <v>75</v>
      </c>
      <c r="GW28" s="17">
        <v>1</v>
      </c>
      <c r="GX28" s="17">
        <v>0</v>
      </c>
      <c r="GY28" s="17">
        <v>0</v>
      </c>
      <c r="GZ28" s="17">
        <v>0</v>
      </c>
      <c r="HA28" s="17">
        <v>22</v>
      </c>
      <c r="HB28" s="17">
        <v>3</v>
      </c>
      <c r="HC28" s="17">
        <v>19</v>
      </c>
      <c r="HD28" s="17">
        <v>0</v>
      </c>
      <c r="HE28" s="17">
        <v>0</v>
      </c>
      <c r="HF28" s="17">
        <v>0</v>
      </c>
      <c r="HG28" s="17">
        <v>0</v>
      </c>
      <c r="HH28" s="17">
        <v>1</v>
      </c>
      <c r="HI28" s="17">
        <v>0</v>
      </c>
      <c r="HJ28" s="17">
        <v>0</v>
      </c>
      <c r="HK28" s="17">
        <v>0</v>
      </c>
      <c r="HL28" s="17">
        <v>0</v>
      </c>
      <c r="HM28" s="17">
        <v>1</v>
      </c>
      <c r="HN28" s="82">
        <v>0</v>
      </c>
      <c r="HO28" s="82">
        <v>0</v>
      </c>
      <c r="HP28" s="82">
        <v>48</v>
      </c>
      <c r="HQ28" s="82">
        <v>0</v>
      </c>
      <c r="HR28" s="82">
        <v>0</v>
      </c>
      <c r="HS28" s="17">
        <v>1</v>
      </c>
      <c r="HT28" s="17">
        <v>2</v>
      </c>
      <c r="HU28" s="17">
        <v>3</v>
      </c>
      <c r="HV28" s="17">
        <v>0</v>
      </c>
      <c r="HW28" s="17">
        <v>0</v>
      </c>
      <c r="HX28" s="17">
        <v>1</v>
      </c>
      <c r="HY28" s="17">
        <v>0</v>
      </c>
      <c r="HZ28" s="17">
        <v>0</v>
      </c>
      <c r="IA28" s="17">
        <v>0</v>
      </c>
      <c r="IB28" s="17">
        <v>0</v>
      </c>
      <c r="IC28" s="17">
        <v>5</v>
      </c>
      <c r="ID28" s="17">
        <v>13</v>
      </c>
      <c r="IE28" s="17">
        <v>2</v>
      </c>
      <c r="IF28" s="17">
        <v>0</v>
      </c>
      <c r="IG28" s="17">
        <v>17</v>
      </c>
      <c r="IH28" s="17">
        <v>0</v>
      </c>
      <c r="II28" s="17">
        <v>0</v>
      </c>
      <c r="IJ28" s="17">
        <v>0</v>
      </c>
      <c r="IK28" s="17">
        <v>0</v>
      </c>
      <c r="IL28" s="17">
        <v>0</v>
      </c>
      <c r="IM28" s="17">
        <v>0</v>
      </c>
      <c r="IN28" s="17">
        <v>0</v>
      </c>
      <c r="IO28" s="17">
        <v>0</v>
      </c>
      <c r="IP28" s="17">
        <v>1</v>
      </c>
      <c r="IQ28" s="17">
        <v>2</v>
      </c>
      <c r="IR28" s="17">
        <v>0</v>
      </c>
      <c r="IS28" s="12">
        <v>0</v>
      </c>
      <c r="IT28" s="12">
        <v>41</v>
      </c>
      <c r="IU28" s="12">
        <v>0</v>
      </c>
      <c r="IV28" s="12">
        <v>1</v>
      </c>
      <c r="IW28" s="12">
        <v>0</v>
      </c>
      <c r="IX28" s="11">
        <v>10000</v>
      </c>
      <c r="IY28" s="11">
        <v>10000</v>
      </c>
      <c r="IZ28" s="11">
        <v>10000</v>
      </c>
      <c r="JA28" s="85" t="s">
        <v>603</v>
      </c>
      <c r="JB28" s="85" t="s">
        <v>604</v>
      </c>
      <c r="JC28" s="85">
        <v>1</v>
      </c>
      <c r="JD28" s="12">
        <v>8</v>
      </c>
      <c r="JE28" s="12">
        <v>5</v>
      </c>
      <c r="JF28" s="12">
        <v>8</v>
      </c>
      <c r="JG28" s="12">
        <v>4</v>
      </c>
      <c r="JH28" s="12">
        <v>8</v>
      </c>
      <c r="JI28" s="12">
        <v>5</v>
      </c>
      <c r="JJ28" s="13" t="s">
        <v>619</v>
      </c>
      <c r="JK28" s="13" t="s">
        <v>620</v>
      </c>
      <c r="JL28" s="13" t="s">
        <v>296</v>
      </c>
      <c r="JM28" s="89"/>
      <c r="JN28" s="89"/>
      <c r="JO28" s="89" t="s">
        <v>296</v>
      </c>
      <c r="JP28" s="89"/>
      <c r="JQ28" s="89"/>
      <c r="JR28" s="89" t="s">
        <v>296</v>
      </c>
      <c r="JS28" s="89" t="s">
        <v>619</v>
      </c>
      <c r="JT28" s="89" t="s">
        <v>619</v>
      </c>
      <c r="JU28" s="89" t="s">
        <v>296</v>
      </c>
      <c r="JV28" s="89"/>
      <c r="JW28" s="89"/>
      <c r="JX28" s="89" t="s">
        <v>297</v>
      </c>
      <c r="JY28" s="12" t="s">
        <v>619</v>
      </c>
      <c r="JZ28" s="12" t="s">
        <v>34</v>
      </c>
      <c r="KA28" s="12" t="s">
        <v>34</v>
      </c>
      <c r="KB28" s="12" t="s">
        <v>34</v>
      </c>
      <c r="KC28" s="12" t="s">
        <v>619</v>
      </c>
      <c r="KD28" s="12" t="s">
        <v>34</v>
      </c>
      <c r="KE28" s="12" t="s">
        <v>34</v>
      </c>
      <c r="KF28" s="12"/>
      <c r="KG28" s="12" t="s">
        <v>619</v>
      </c>
      <c r="KH28" s="12" t="s">
        <v>619</v>
      </c>
      <c r="KI28" s="12" t="s">
        <v>34</v>
      </c>
      <c r="KJ28" s="12" t="s">
        <v>34</v>
      </c>
      <c r="KK28" s="12" t="s">
        <v>34</v>
      </c>
      <c r="KL28" s="12" t="s">
        <v>34</v>
      </c>
      <c r="KM28" s="12" t="s">
        <v>619</v>
      </c>
      <c r="KN28" s="12" t="s">
        <v>619</v>
      </c>
      <c r="KO28" s="12" t="s">
        <v>619</v>
      </c>
      <c r="KP28" s="12" t="s">
        <v>34</v>
      </c>
      <c r="KQ28" s="12" t="s">
        <v>619</v>
      </c>
      <c r="KR28" s="12" t="s">
        <v>619</v>
      </c>
      <c r="KS28" s="12" t="s">
        <v>34</v>
      </c>
      <c r="KT28" s="12" t="s">
        <v>34</v>
      </c>
      <c r="KU28" s="12" t="s">
        <v>34</v>
      </c>
      <c r="KV28" s="12" t="s">
        <v>34</v>
      </c>
      <c r="KW28" s="12" t="s">
        <v>34</v>
      </c>
      <c r="KX28" s="12" t="s">
        <v>34</v>
      </c>
      <c r="KY28" s="12" t="s">
        <v>34</v>
      </c>
      <c r="KZ28" s="12" t="s">
        <v>34</v>
      </c>
      <c r="LA28" s="12" t="s">
        <v>34</v>
      </c>
      <c r="LB28" s="12" t="s">
        <v>619</v>
      </c>
      <c r="LC28" s="12" t="s">
        <v>34</v>
      </c>
      <c r="LD28" s="12" t="s">
        <v>34</v>
      </c>
      <c r="LE28" s="12" t="s">
        <v>619</v>
      </c>
      <c r="LF28" s="12" t="s">
        <v>34</v>
      </c>
      <c r="LG28" s="12" t="s">
        <v>34</v>
      </c>
      <c r="LH28" s="12" t="s">
        <v>34</v>
      </c>
      <c r="LI28" s="12" t="s">
        <v>34</v>
      </c>
      <c r="LJ28" s="12" t="s">
        <v>34</v>
      </c>
      <c r="LK28" s="12" t="s">
        <v>34</v>
      </c>
      <c r="LL28" s="13" t="s">
        <v>34</v>
      </c>
      <c r="LM28" s="13" t="s">
        <v>34</v>
      </c>
      <c r="LN28" s="13" t="s">
        <v>34</v>
      </c>
      <c r="LO28" s="13" t="s">
        <v>34</v>
      </c>
      <c r="LP28" s="90" t="s">
        <v>34</v>
      </c>
      <c r="LQ28" s="13" t="s">
        <v>34</v>
      </c>
      <c r="LR28" s="13" t="s">
        <v>34</v>
      </c>
      <c r="LS28" s="13"/>
      <c r="LT28" s="13" t="s">
        <v>34</v>
      </c>
      <c r="LU28" s="13" t="s">
        <v>34</v>
      </c>
      <c r="LV28" s="13" t="s">
        <v>34</v>
      </c>
      <c r="LW28" s="13" t="s">
        <v>34</v>
      </c>
      <c r="LX28" s="13" t="s">
        <v>34</v>
      </c>
      <c r="LY28" s="13" t="s">
        <v>34</v>
      </c>
      <c r="LZ28" s="13" t="s">
        <v>34</v>
      </c>
      <c r="MA28" s="13" t="s">
        <v>34</v>
      </c>
      <c r="MB28" s="13" t="s">
        <v>619</v>
      </c>
      <c r="MC28" s="13" t="s">
        <v>34</v>
      </c>
      <c r="MD28" s="13" t="s">
        <v>619</v>
      </c>
      <c r="ME28" s="13" t="s">
        <v>34</v>
      </c>
      <c r="MF28" s="13" t="s">
        <v>34</v>
      </c>
      <c r="MG28" s="13" t="s">
        <v>34</v>
      </c>
      <c r="MH28" s="13" t="s">
        <v>34</v>
      </c>
      <c r="MI28" s="13" t="s">
        <v>34</v>
      </c>
      <c r="MJ28" s="13" t="s">
        <v>34</v>
      </c>
      <c r="MK28" s="13" t="s">
        <v>34</v>
      </c>
      <c r="ML28" s="13" t="s">
        <v>34</v>
      </c>
      <c r="MM28" s="13" t="s">
        <v>34</v>
      </c>
      <c r="MN28" s="13" t="s">
        <v>34</v>
      </c>
      <c r="MO28" s="13" t="s">
        <v>619</v>
      </c>
      <c r="MP28" s="13" t="s">
        <v>34</v>
      </c>
      <c r="MQ28" s="13" t="s">
        <v>619</v>
      </c>
      <c r="MR28" s="13" t="s">
        <v>619</v>
      </c>
      <c r="MS28" s="13" t="s">
        <v>34</v>
      </c>
      <c r="MT28" s="13" t="s">
        <v>34</v>
      </c>
      <c r="MU28" s="13" t="s">
        <v>34</v>
      </c>
      <c r="MV28" s="13" t="s">
        <v>34</v>
      </c>
      <c r="MW28" s="13" t="s">
        <v>34</v>
      </c>
      <c r="MX28" s="13" t="s">
        <v>34</v>
      </c>
      <c r="MY28" s="28" t="s">
        <v>296</v>
      </c>
      <c r="MZ28" s="28" t="s">
        <v>296</v>
      </c>
      <c r="NA28" s="28" t="s">
        <v>296</v>
      </c>
      <c r="NB28" s="28" t="s">
        <v>296</v>
      </c>
      <c r="NC28" s="28" t="s">
        <v>296</v>
      </c>
      <c r="ND28" s="28" t="s">
        <v>297</v>
      </c>
      <c r="NE28" s="28" t="s">
        <v>296</v>
      </c>
      <c r="NF28" s="28" t="s">
        <v>297</v>
      </c>
      <c r="NG28" s="28" t="s">
        <v>297</v>
      </c>
      <c r="NH28" s="28" t="s">
        <v>297</v>
      </c>
      <c r="NI28" s="177" t="s">
        <v>296</v>
      </c>
      <c r="NJ28" s="177" t="s">
        <v>297</v>
      </c>
      <c r="NK28" s="177" t="s">
        <v>296</v>
      </c>
      <c r="NL28" s="177" t="s">
        <v>296</v>
      </c>
      <c r="NM28" s="177" t="s">
        <v>296</v>
      </c>
      <c r="NN28" s="177" t="s">
        <v>296</v>
      </c>
      <c r="NO28" s="177" t="s">
        <v>296</v>
      </c>
      <c r="NP28" s="177" t="s">
        <v>296</v>
      </c>
      <c r="NQ28" s="177" t="s">
        <v>296</v>
      </c>
      <c r="NR28" s="12" t="s">
        <v>34</v>
      </c>
      <c r="NS28" s="13" t="s">
        <v>34</v>
      </c>
    </row>
    <row r="29" spans="1:383" x14ac:dyDescent="0.25">
      <c r="A29" s="8" t="s">
        <v>96</v>
      </c>
      <c r="B29" s="9" t="s">
        <v>97</v>
      </c>
      <c r="C29" s="9">
        <v>53</v>
      </c>
      <c r="D29" s="9" t="s">
        <v>83</v>
      </c>
      <c r="E29" s="10">
        <v>60</v>
      </c>
      <c r="F29" s="10">
        <v>61</v>
      </c>
      <c r="G29" s="10">
        <v>53</v>
      </c>
      <c r="H29" s="10">
        <v>44</v>
      </c>
      <c r="I29" s="10">
        <v>45</v>
      </c>
      <c r="J29" s="11">
        <v>188</v>
      </c>
      <c r="K29" s="11">
        <v>139</v>
      </c>
      <c r="L29" s="11">
        <v>140</v>
      </c>
      <c r="M29" s="11">
        <v>128</v>
      </c>
      <c r="N29" s="11">
        <v>131</v>
      </c>
      <c r="O29" s="13">
        <v>1917</v>
      </c>
      <c r="P29" s="13">
        <v>1578</v>
      </c>
      <c r="Q29" s="13">
        <v>1581</v>
      </c>
      <c r="R29" s="13">
        <v>1161</v>
      </c>
      <c r="S29" s="13">
        <v>1063</v>
      </c>
      <c r="T29" s="12">
        <v>551</v>
      </c>
      <c r="U29" s="12">
        <v>383</v>
      </c>
      <c r="V29" s="12">
        <v>319</v>
      </c>
      <c r="W29" s="12">
        <v>231</v>
      </c>
      <c r="X29" s="12">
        <v>197</v>
      </c>
      <c r="Y29" s="12">
        <v>6.7</v>
      </c>
      <c r="Z29" s="12">
        <v>6.73</v>
      </c>
      <c r="AA29" s="12">
        <v>6.73</v>
      </c>
      <c r="AB29" s="13">
        <v>5.7</v>
      </c>
      <c r="AC29" s="13">
        <v>5.73</v>
      </c>
      <c r="AD29" s="13">
        <v>5.73</v>
      </c>
      <c r="AE29" s="35" t="s">
        <v>259</v>
      </c>
      <c r="AF29" s="35" t="s">
        <v>259</v>
      </c>
      <c r="AG29" s="35" t="s">
        <v>259</v>
      </c>
      <c r="AH29" s="38">
        <v>0.5</v>
      </c>
      <c r="AI29" s="38">
        <v>0.5</v>
      </c>
      <c r="AJ29" s="38">
        <v>0.6</v>
      </c>
      <c r="AK29" s="45" t="s">
        <v>34</v>
      </c>
      <c r="AL29" s="45" t="s">
        <v>34</v>
      </c>
      <c r="AM29" s="45" t="s">
        <v>34</v>
      </c>
      <c r="AN29" s="45" t="s">
        <v>34</v>
      </c>
      <c r="AO29" s="45" t="s">
        <v>34</v>
      </c>
      <c r="AP29" s="45" t="s">
        <v>292</v>
      </c>
      <c r="AQ29" s="53" t="s">
        <v>297</v>
      </c>
      <c r="AR29" s="56">
        <v>20</v>
      </c>
      <c r="AS29" s="57">
        <v>25</v>
      </c>
      <c r="AT29" s="56">
        <v>103</v>
      </c>
      <c r="AU29" s="57">
        <v>1679</v>
      </c>
      <c r="AV29" s="57">
        <v>2892</v>
      </c>
      <c r="AW29" s="57">
        <v>4913</v>
      </c>
      <c r="AX29" s="57">
        <v>0</v>
      </c>
      <c r="AY29" s="57">
        <v>0</v>
      </c>
      <c r="AZ29" s="57">
        <v>3</v>
      </c>
      <c r="BA29" s="57">
        <v>2059</v>
      </c>
      <c r="BB29" s="57">
        <v>4256</v>
      </c>
      <c r="BC29" s="57">
        <v>5539</v>
      </c>
      <c r="BD29" s="57">
        <v>0</v>
      </c>
      <c r="BE29" s="57">
        <v>0</v>
      </c>
      <c r="BF29" s="57">
        <v>0</v>
      </c>
      <c r="BG29" s="57">
        <v>1900</v>
      </c>
      <c r="BH29" s="57">
        <v>3462</v>
      </c>
      <c r="BI29" s="57">
        <v>2817</v>
      </c>
      <c r="BJ29" s="57" t="s">
        <v>297</v>
      </c>
      <c r="BK29" s="57">
        <v>7</v>
      </c>
      <c r="BL29" s="57">
        <v>0</v>
      </c>
      <c r="BM29" s="57">
        <v>0</v>
      </c>
      <c r="BN29" s="57">
        <v>1510</v>
      </c>
      <c r="BO29" s="57">
        <v>365</v>
      </c>
      <c r="BP29" s="57">
        <v>430</v>
      </c>
      <c r="BQ29" s="76">
        <v>404</v>
      </c>
      <c r="BR29" s="76">
        <v>400</v>
      </c>
      <c r="BS29">
        <v>388</v>
      </c>
      <c r="BT29">
        <v>388</v>
      </c>
      <c r="BU29">
        <v>387</v>
      </c>
      <c r="BV29">
        <v>54495</v>
      </c>
      <c r="BW29">
        <v>53145</v>
      </c>
      <c r="BX29">
        <v>52270</v>
      </c>
      <c r="BY29">
        <v>51255</v>
      </c>
      <c r="BZ29">
        <v>50001</v>
      </c>
      <c r="CA29">
        <v>58</v>
      </c>
      <c r="CB29">
        <v>57</v>
      </c>
      <c r="CC29">
        <v>51</v>
      </c>
      <c r="CD29">
        <v>44</v>
      </c>
      <c r="CE29">
        <v>44</v>
      </c>
      <c r="CF29">
        <v>2468</v>
      </c>
      <c r="CG29">
        <v>1961</v>
      </c>
      <c r="CH29">
        <v>1900</v>
      </c>
      <c r="CI29">
        <v>1392</v>
      </c>
      <c r="CJ29">
        <v>1260</v>
      </c>
      <c r="CK29" s="10">
        <v>41</v>
      </c>
      <c r="CL29" s="10">
        <v>41</v>
      </c>
      <c r="CM29" s="10">
        <v>41</v>
      </c>
      <c r="CN29" s="11">
        <v>26</v>
      </c>
      <c r="CO29" s="11">
        <v>26</v>
      </c>
      <c r="CP29" s="11">
        <v>26</v>
      </c>
      <c r="CQ29" s="13">
        <v>6</v>
      </c>
      <c r="CR29" s="13">
        <v>3</v>
      </c>
      <c r="CS29" s="13">
        <v>0</v>
      </c>
      <c r="CT29" s="10">
        <v>0</v>
      </c>
      <c r="CU29" s="10">
        <v>0</v>
      </c>
      <c r="CV29" s="10">
        <v>0</v>
      </c>
      <c r="CW29" s="10">
        <v>0</v>
      </c>
      <c r="CX29" s="10">
        <v>4</v>
      </c>
      <c r="CY29" s="10">
        <v>0</v>
      </c>
      <c r="CZ29" s="10">
        <v>0</v>
      </c>
      <c r="DA29" s="10">
        <v>0</v>
      </c>
      <c r="DB29" s="10">
        <v>0</v>
      </c>
      <c r="DC29" s="10">
        <v>0</v>
      </c>
      <c r="DD29" s="10">
        <v>0</v>
      </c>
      <c r="DE29" s="10">
        <v>0</v>
      </c>
      <c r="DF29" s="10">
        <v>0</v>
      </c>
      <c r="DG29" s="10">
        <v>0</v>
      </c>
      <c r="DH29" s="10">
        <v>0</v>
      </c>
      <c r="DI29" s="81">
        <v>0</v>
      </c>
      <c r="DJ29" s="81">
        <v>0</v>
      </c>
      <c r="DK29" s="81">
        <v>4</v>
      </c>
      <c r="DL29" s="81">
        <v>0</v>
      </c>
      <c r="DM29" s="81">
        <v>0</v>
      </c>
      <c r="DN29" s="12">
        <v>0</v>
      </c>
      <c r="DO29" s="12">
        <v>0</v>
      </c>
      <c r="DP29" s="12">
        <v>0</v>
      </c>
      <c r="DQ29" s="12">
        <v>0</v>
      </c>
      <c r="DR29" s="12">
        <v>0</v>
      </c>
      <c r="DS29" s="12">
        <v>0</v>
      </c>
      <c r="DT29" s="12">
        <v>0</v>
      </c>
      <c r="DU29" s="12">
        <v>0</v>
      </c>
      <c r="DV29" s="12">
        <v>1</v>
      </c>
      <c r="DW29" s="12">
        <v>1</v>
      </c>
      <c r="DX29" s="12">
        <v>0</v>
      </c>
      <c r="DY29" s="12">
        <v>0</v>
      </c>
      <c r="DZ29" s="12">
        <v>0</v>
      </c>
      <c r="EA29" s="12">
        <v>0</v>
      </c>
      <c r="EB29" s="12">
        <v>1</v>
      </c>
      <c r="EC29" s="12">
        <v>0</v>
      </c>
      <c r="ED29" s="12">
        <v>1</v>
      </c>
      <c r="EE29" s="12">
        <v>0</v>
      </c>
      <c r="EF29" s="12">
        <v>0</v>
      </c>
      <c r="EG29" s="12">
        <v>0</v>
      </c>
      <c r="EH29" s="12">
        <v>0</v>
      </c>
      <c r="EI29" s="12">
        <v>0</v>
      </c>
      <c r="EJ29" s="12">
        <v>1</v>
      </c>
      <c r="EK29" s="12">
        <v>0</v>
      </c>
      <c r="EL29" s="12">
        <v>0</v>
      </c>
      <c r="EM29" s="12">
        <v>1</v>
      </c>
      <c r="EN29" s="12">
        <v>0</v>
      </c>
      <c r="EO29" s="12">
        <v>0</v>
      </c>
      <c r="EP29" s="12">
        <v>0</v>
      </c>
      <c r="EQ29" s="12">
        <v>0</v>
      </c>
      <c r="ER29" s="12">
        <v>0</v>
      </c>
      <c r="ES29" s="17">
        <v>1</v>
      </c>
      <c r="ET29" s="17">
        <v>18</v>
      </c>
      <c r="EU29" s="17">
        <v>0</v>
      </c>
      <c r="EV29" s="17">
        <v>0</v>
      </c>
      <c r="EW29" s="17">
        <v>0</v>
      </c>
      <c r="EX29" s="17">
        <v>0</v>
      </c>
      <c r="EY29" s="17">
        <v>0</v>
      </c>
      <c r="EZ29" s="17">
        <v>0</v>
      </c>
      <c r="FA29" s="17">
        <v>0</v>
      </c>
      <c r="FB29" s="17">
        <v>0</v>
      </c>
      <c r="FC29" s="17">
        <v>0</v>
      </c>
      <c r="FD29" s="17">
        <v>0</v>
      </c>
      <c r="FE29" s="17">
        <v>0</v>
      </c>
      <c r="FF29" s="17">
        <v>0</v>
      </c>
      <c r="FG29" s="17">
        <v>0</v>
      </c>
      <c r="FH29" s="17">
        <v>0</v>
      </c>
      <c r="FI29" s="17">
        <v>0</v>
      </c>
      <c r="FJ29" s="17">
        <v>2</v>
      </c>
      <c r="FK29" s="82">
        <v>0</v>
      </c>
      <c r="FL29" s="82">
        <v>0</v>
      </c>
      <c r="FM29" s="82">
        <v>0</v>
      </c>
      <c r="FN29" s="82">
        <v>0</v>
      </c>
      <c r="FO29" s="82">
        <v>0</v>
      </c>
      <c r="FP29" s="17">
        <v>0</v>
      </c>
      <c r="FQ29" s="17">
        <v>0</v>
      </c>
      <c r="FR29" s="17">
        <v>3</v>
      </c>
      <c r="FS29" s="17">
        <v>3</v>
      </c>
      <c r="FT29" s="17">
        <v>0</v>
      </c>
      <c r="FU29" s="17">
        <v>0</v>
      </c>
      <c r="FV29" s="17">
        <v>0</v>
      </c>
      <c r="FW29" s="17">
        <v>0</v>
      </c>
      <c r="FX29" s="17">
        <v>0</v>
      </c>
      <c r="FY29" s="17">
        <v>0</v>
      </c>
      <c r="FZ29" s="17">
        <v>0</v>
      </c>
      <c r="GA29" s="17">
        <v>0</v>
      </c>
      <c r="GB29" s="17">
        <v>0</v>
      </c>
      <c r="GC29" s="17">
        <v>0</v>
      </c>
      <c r="GD29" s="17">
        <v>0</v>
      </c>
      <c r="GE29" s="17">
        <v>0</v>
      </c>
      <c r="GF29" s="17">
        <v>0</v>
      </c>
      <c r="GG29" s="17">
        <v>0</v>
      </c>
      <c r="GH29" s="17">
        <v>1</v>
      </c>
      <c r="GI29" s="17">
        <v>0</v>
      </c>
      <c r="GJ29" s="17">
        <v>0</v>
      </c>
      <c r="GK29" s="17">
        <v>0</v>
      </c>
      <c r="GL29" s="17">
        <v>0</v>
      </c>
      <c r="GM29" s="17">
        <v>0</v>
      </c>
      <c r="GN29" s="17">
        <v>0</v>
      </c>
      <c r="GO29" s="17">
        <v>0</v>
      </c>
      <c r="GP29" s="12">
        <v>0</v>
      </c>
      <c r="GQ29" s="12">
        <v>1</v>
      </c>
      <c r="GR29" s="12">
        <v>0</v>
      </c>
      <c r="GS29" s="12">
        <v>0</v>
      </c>
      <c r="GT29" s="12">
        <v>0</v>
      </c>
      <c r="GU29" s="13">
        <v>25</v>
      </c>
      <c r="GV29" s="17">
        <v>51</v>
      </c>
      <c r="GW29" s="17">
        <v>19</v>
      </c>
      <c r="GX29" s="17">
        <v>0</v>
      </c>
      <c r="GY29" s="17">
        <v>0</v>
      </c>
      <c r="GZ29" s="17">
        <v>0</v>
      </c>
      <c r="HA29" s="17">
        <v>12</v>
      </c>
      <c r="HB29" s="17">
        <v>0</v>
      </c>
      <c r="HC29" s="17">
        <v>8</v>
      </c>
      <c r="HD29" s="17">
        <v>0</v>
      </c>
      <c r="HE29" s="17">
        <v>0</v>
      </c>
      <c r="HF29" s="17">
        <v>0</v>
      </c>
      <c r="HG29" s="17">
        <v>0</v>
      </c>
      <c r="HH29" s="17">
        <v>0</v>
      </c>
      <c r="HI29" s="17">
        <v>0</v>
      </c>
      <c r="HJ29" s="17">
        <v>0</v>
      </c>
      <c r="HK29" s="17">
        <v>1</v>
      </c>
      <c r="HL29" s="17">
        <v>0</v>
      </c>
      <c r="HM29" s="17">
        <v>0</v>
      </c>
      <c r="HN29" s="82">
        <v>0</v>
      </c>
      <c r="HO29" s="82">
        <v>0</v>
      </c>
      <c r="HP29" s="82">
        <v>10</v>
      </c>
      <c r="HQ29" s="82">
        <v>0</v>
      </c>
      <c r="HR29" s="82">
        <v>0</v>
      </c>
      <c r="HS29" s="17">
        <v>1</v>
      </c>
      <c r="HT29" s="17">
        <v>0</v>
      </c>
      <c r="HU29" s="17">
        <v>0</v>
      </c>
      <c r="HV29" s="17">
        <v>0</v>
      </c>
      <c r="HW29" s="17">
        <v>0</v>
      </c>
      <c r="HX29" s="17">
        <v>0</v>
      </c>
      <c r="HY29" s="17">
        <v>0</v>
      </c>
      <c r="HZ29" s="17">
        <v>0</v>
      </c>
      <c r="IA29" s="17">
        <v>0</v>
      </c>
      <c r="IB29" s="17">
        <v>7</v>
      </c>
      <c r="IC29" s="17">
        <v>0</v>
      </c>
      <c r="ID29" s="17">
        <v>1</v>
      </c>
      <c r="IE29" s="17">
        <v>0</v>
      </c>
      <c r="IF29" s="17">
        <v>0</v>
      </c>
      <c r="IG29" s="17">
        <v>3</v>
      </c>
      <c r="IH29" s="17">
        <v>0</v>
      </c>
      <c r="II29" s="17">
        <v>10</v>
      </c>
      <c r="IJ29" s="17">
        <v>0</v>
      </c>
      <c r="IK29" s="17">
        <v>1</v>
      </c>
      <c r="IL29" s="17">
        <v>0</v>
      </c>
      <c r="IM29" s="17">
        <v>0</v>
      </c>
      <c r="IN29" s="17">
        <v>0</v>
      </c>
      <c r="IO29" s="17">
        <v>0</v>
      </c>
      <c r="IP29" s="17">
        <v>0</v>
      </c>
      <c r="IQ29" s="17">
        <v>0</v>
      </c>
      <c r="IR29" s="17">
        <v>0</v>
      </c>
      <c r="IS29" s="12">
        <v>1</v>
      </c>
      <c r="IT29" s="12">
        <v>0</v>
      </c>
      <c r="IU29" s="12">
        <v>0</v>
      </c>
      <c r="IV29" s="12">
        <v>0</v>
      </c>
      <c r="IW29" s="12">
        <v>6</v>
      </c>
      <c r="IX29" s="11">
        <v>12760</v>
      </c>
      <c r="IY29" s="11">
        <v>10200</v>
      </c>
      <c r="IZ29" s="11">
        <v>7800</v>
      </c>
      <c r="JA29" s="85">
        <v>0</v>
      </c>
      <c r="JB29" s="85" t="s">
        <v>604</v>
      </c>
      <c r="JC29" s="85">
        <v>1</v>
      </c>
      <c r="JD29" s="12">
        <v>16</v>
      </c>
      <c r="JE29" s="12">
        <v>5</v>
      </c>
      <c r="JF29" s="12">
        <v>16</v>
      </c>
      <c r="JG29" s="12">
        <v>1</v>
      </c>
      <c r="JH29" s="12">
        <v>16</v>
      </c>
      <c r="JI29" s="12">
        <v>1</v>
      </c>
      <c r="JJ29" s="13" t="s">
        <v>619</v>
      </c>
      <c r="JK29" s="13" t="s">
        <v>619</v>
      </c>
      <c r="JL29" s="13" t="s">
        <v>296</v>
      </c>
      <c r="JM29" s="89"/>
      <c r="JN29" s="89"/>
      <c r="JO29" s="89" t="s">
        <v>296</v>
      </c>
      <c r="JP29" s="89"/>
      <c r="JQ29" s="89"/>
      <c r="JR29" s="89" t="s">
        <v>296</v>
      </c>
      <c r="JS29" s="89" t="s">
        <v>619</v>
      </c>
      <c r="JT29" s="89" t="s">
        <v>619</v>
      </c>
      <c r="JU29" s="89" t="s">
        <v>296</v>
      </c>
      <c r="JV29" s="89"/>
      <c r="JW29" s="89"/>
      <c r="JX29" s="89" t="s">
        <v>297</v>
      </c>
      <c r="JY29" s="12" t="s">
        <v>34</v>
      </c>
      <c r="JZ29" s="12" t="s">
        <v>34</v>
      </c>
      <c r="KA29" s="12" t="s">
        <v>34</v>
      </c>
      <c r="KB29" s="12" t="s">
        <v>34</v>
      </c>
      <c r="KC29" s="12" t="s">
        <v>619</v>
      </c>
      <c r="KD29" s="12" t="s">
        <v>34</v>
      </c>
      <c r="KE29" s="12" t="s">
        <v>34</v>
      </c>
      <c r="KF29" s="12"/>
      <c r="KG29" s="12" t="s">
        <v>34</v>
      </c>
      <c r="KH29" s="12" t="s">
        <v>34</v>
      </c>
      <c r="KI29" s="12" t="s">
        <v>34</v>
      </c>
      <c r="KJ29" s="12" t="s">
        <v>34</v>
      </c>
      <c r="KK29" s="12" t="s">
        <v>34</v>
      </c>
      <c r="KL29" s="12" t="s">
        <v>34</v>
      </c>
      <c r="KM29" s="12" t="s">
        <v>34</v>
      </c>
      <c r="KN29" s="12" t="s">
        <v>619</v>
      </c>
      <c r="KO29" s="12" t="s">
        <v>34</v>
      </c>
      <c r="KP29" s="12" t="s">
        <v>34</v>
      </c>
      <c r="KQ29" s="12" t="s">
        <v>619</v>
      </c>
      <c r="KR29" s="12" t="s">
        <v>34</v>
      </c>
      <c r="KS29" s="12" t="s">
        <v>34</v>
      </c>
      <c r="KT29" s="12" t="s">
        <v>34</v>
      </c>
      <c r="KU29" s="12" t="s">
        <v>34</v>
      </c>
      <c r="KV29" s="12" t="s">
        <v>34</v>
      </c>
      <c r="KW29" s="12" t="s">
        <v>34</v>
      </c>
      <c r="KX29" s="12" t="s">
        <v>34</v>
      </c>
      <c r="KY29" s="12" t="s">
        <v>34</v>
      </c>
      <c r="KZ29" s="12" t="s">
        <v>34</v>
      </c>
      <c r="LA29" s="12" t="s">
        <v>34</v>
      </c>
      <c r="LB29" s="12" t="s">
        <v>619</v>
      </c>
      <c r="LC29" s="12" t="s">
        <v>34</v>
      </c>
      <c r="LD29" s="12" t="s">
        <v>34</v>
      </c>
      <c r="LE29" s="12" t="s">
        <v>34</v>
      </c>
      <c r="LF29" s="12" t="s">
        <v>34</v>
      </c>
      <c r="LG29" s="12" t="s">
        <v>34</v>
      </c>
      <c r="LH29" s="12" t="s">
        <v>34</v>
      </c>
      <c r="LI29" s="12" t="s">
        <v>34</v>
      </c>
      <c r="LJ29" s="12" t="s">
        <v>619</v>
      </c>
      <c r="LK29" s="12" t="s">
        <v>34</v>
      </c>
      <c r="LL29" s="13" t="s">
        <v>34</v>
      </c>
      <c r="LM29" s="13" t="s">
        <v>34</v>
      </c>
      <c r="LN29" s="13" t="s">
        <v>34</v>
      </c>
      <c r="LO29" s="13" t="s">
        <v>34</v>
      </c>
      <c r="LP29" s="90" t="s">
        <v>34</v>
      </c>
      <c r="LQ29" s="13" t="s">
        <v>34</v>
      </c>
      <c r="LR29" s="13" t="s">
        <v>34</v>
      </c>
      <c r="LS29" s="13"/>
      <c r="LT29" s="13" t="s">
        <v>34</v>
      </c>
      <c r="LU29" s="13" t="s">
        <v>34</v>
      </c>
      <c r="LV29" s="13" t="s">
        <v>34</v>
      </c>
      <c r="LW29" s="13" t="s">
        <v>34</v>
      </c>
      <c r="LX29" s="13" t="s">
        <v>34</v>
      </c>
      <c r="LY29" s="13" t="s">
        <v>34</v>
      </c>
      <c r="LZ29" s="13" t="s">
        <v>34</v>
      </c>
      <c r="MA29" s="13" t="s">
        <v>34</v>
      </c>
      <c r="MB29" s="13" t="s">
        <v>34</v>
      </c>
      <c r="MC29" s="13" t="s">
        <v>34</v>
      </c>
      <c r="MD29" s="13" t="s">
        <v>34</v>
      </c>
      <c r="ME29" s="13" t="s">
        <v>619</v>
      </c>
      <c r="MF29" s="13" t="s">
        <v>34</v>
      </c>
      <c r="MG29" s="13" t="s">
        <v>34</v>
      </c>
      <c r="MH29" s="13" t="s">
        <v>34</v>
      </c>
      <c r="MI29" s="13" t="s">
        <v>34</v>
      </c>
      <c r="MJ29" s="13" t="s">
        <v>34</v>
      </c>
      <c r="MK29" s="13" t="s">
        <v>34</v>
      </c>
      <c r="ML29" s="13" t="s">
        <v>34</v>
      </c>
      <c r="MM29" s="13" t="s">
        <v>34</v>
      </c>
      <c r="MN29" s="13" t="s">
        <v>34</v>
      </c>
      <c r="MO29" s="13" t="s">
        <v>34</v>
      </c>
      <c r="MP29" s="13" t="s">
        <v>34</v>
      </c>
      <c r="MQ29" s="13" t="s">
        <v>34</v>
      </c>
      <c r="MR29" s="13" t="s">
        <v>34</v>
      </c>
      <c r="MS29" s="13" t="s">
        <v>34</v>
      </c>
      <c r="MT29" s="13" t="s">
        <v>34</v>
      </c>
      <c r="MU29" s="13" t="s">
        <v>34</v>
      </c>
      <c r="MV29" s="13" t="s">
        <v>34</v>
      </c>
      <c r="MW29" s="13" t="s">
        <v>34</v>
      </c>
      <c r="MX29" s="13" t="s">
        <v>34</v>
      </c>
      <c r="MY29" s="28" t="s">
        <v>296</v>
      </c>
      <c r="MZ29" s="28" t="s">
        <v>296</v>
      </c>
      <c r="NA29" s="28" t="s">
        <v>296</v>
      </c>
      <c r="NB29" s="28" t="s">
        <v>296</v>
      </c>
      <c r="NC29" s="28" t="s">
        <v>296</v>
      </c>
      <c r="ND29" s="28" t="s">
        <v>296</v>
      </c>
      <c r="NE29" s="28" t="s">
        <v>296</v>
      </c>
      <c r="NF29" s="28" t="s">
        <v>296</v>
      </c>
      <c r="NG29" s="28" t="s">
        <v>297</v>
      </c>
      <c r="NH29" s="28" t="s">
        <v>297</v>
      </c>
      <c r="NI29" s="177" t="s">
        <v>296</v>
      </c>
      <c r="NJ29" s="177" t="s">
        <v>297</v>
      </c>
      <c r="NK29" s="177" t="s">
        <v>296</v>
      </c>
      <c r="NL29" s="177" t="s">
        <v>296</v>
      </c>
      <c r="NM29" s="177" t="s">
        <v>296</v>
      </c>
      <c r="NN29" s="177" t="s">
        <v>296</v>
      </c>
      <c r="NO29" s="177" t="s">
        <v>296</v>
      </c>
      <c r="NP29" s="177" t="s">
        <v>297</v>
      </c>
      <c r="NQ29" s="177" t="s">
        <v>296</v>
      </c>
      <c r="NR29" s="12" t="s">
        <v>34</v>
      </c>
      <c r="NS29" s="13" t="s">
        <v>34</v>
      </c>
    </row>
    <row r="30" spans="1:383" x14ac:dyDescent="0.25">
      <c r="A30" s="15" t="s">
        <v>98</v>
      </c>
      <c r="B30" s="16" t="s">
        <v>99</v>
      </c>
      <c r="C30" s="16">
        <v>94</v>
      </c>
      <c r="D30" s="16" t="s">
        <v>100</v>
      </c>
      <c r="E30" s="17">
        <v>20</v>
      </c>
      <c r="F30" s="17">
        <v>24</v>
      </c>
      <c r="G30" s="17">
        <v>22</v>
      </c>
      <c r="H30" s="17">
        <v>25</v>
      </c>
      <c r="I30" s="17">
        <v>20</v>
      </c>
      <c r="J30" s="17">
        <v>68</v>
      </c>
      <c r="K30" s="17">
        <v>81</v>
      </c>
      <c r="L30" s="17">
        <v>75</v>
      </c>
      <c r="M30" s="17">
        <v>72</v>
      </c>
      <c r="N30" s="17">
        <v>66</v>
      </c>
      <c r="O30" s="17">
        <v>3253</v>
      </c>
      <c r="P30" s="17">
        <v>3120</v>
      </c>
      <c r="Q30" s="17">
        <v>2911</v>
      </c>
      <c r="R30" s="17">
        <v>2791</v>
      </c>
      <c r="S30" s="17">
        <v>1817</v>
      </c>
      <c r="T30" s="17">
        <v>549</v>
      </c>
      <c r="U30" s="17">
        <v>657</v>
      </c>
      <c r="V30" s="17">
        <v>660</v>
      </c>
      <c r="W30" s="17">
        <v>723</v>
      </c>
      <c r="X30" s="17">
        <v>436</v>
      </c>
      <c r="Y30" s="17">
        <v>8.9499999999999993</v>
      </c>
      <c r="Z30" s="17">
        <v>8.9499999999999993</v>
      </c>
      <c r="AA30" s="17">
        <v>8.9499999999999993</v>
      </c>
      <c r="AB30" s="17">
        <v>8.9499999999999993</v>
      </c>
      <c r="AC30" s="17">
        <v>8.9499999999999993</v>
      </c>
      <c r="AD30" s="17">
        <v>8.9499999999999993</v>
      </c>
      <c r="AE30" s="35" t="s">
        <v>259</v>
      </c>
      <c r="AF30" s="35" t="s">
        <v>259</v>
      </c>
      <c r="AG30" s="35" t="s">
        <v>259</v>
      </c>
      <c r="AH30" s="38">
        <v>1</v>
      </c>
      <c r="AI30" s="38">
        <v>1</v>
      </c>
      <c r="AJ30" s="38">
        <v>1</v>
      </c>
      <c r="AK30" s="45" t="s">
        <v>34</v>
      </c>
      <c r="AL30" s="45" t="s">
        <v>34</v>
      </c>
      <c r="AM30" s="45" t="s">
        <v>34</v>
      </c>
      <c r="AN30" s="45" t="s">
        <v>34</v>
      </c>
      <c r="AO30" s="45" t="s">
        <v>34</v>
      </c>
      <c r="AP30" s="45" t="s">
        <v>34</v>
      </c>
      <c r="AQ30" s="53" t="s">
        <v>297</v>
      </c>
      <c r="AR30" s="56">
        <v>52</v>
      </c>
      <c r="AS30" s="57">
        <v>34</v>
      </c>
      <c r="AT30" s="56">
        <v>70</v>
      </c>
      <c r="AU30" s="57">
        <v>8795</v>
      </c>
      <c r="AV30" s="57">
        <v>5961</v>
      </c>
      <c r="AW30" s="57">
        <v>3989</v>
      </c>
      <c r="AX30" s="57">
        <v>1</v>
      </c>
      <c r="AY30" s="57">
        <v>1</v>
      </c>
      <c r="AZ30" s="57">
        <v>0</v>
      </c>
      <c r="BA30" s="57">
        <v>5556</v>
      </c>
      <c r="BB30" s="57">
        <v>6742</v>
      </c>
      <c r="BC30" s="57">
        <v>7172</v>
      </c>
      <c r="BD30" s="57">
        <v>661</v>
      </c>
      <c r="BE30" s="57">
        <v>2425</v>
      </c>
      <c r="BF30" s="57">
        <v>2415</v>
      </c>
      <c r="BG30" s="57">
        <v>482</v>
      </c>
      <c r="BH30" s="57">
        <v>1381</v>
      </c>
      <c r="BI30" s="57">
        <v>1968</v>
      </c>
      <c r="BJ30" s="57" t="s">
        <v>296</v>
      </c>
      <c r="BK30" s="57">
        <v>6</v>
      </c>
      <c r="BL30" s="57">
        <v>5</v>
      </c>
      <c r="BM30" s="57">
        <v>0</v>
      </c>
      <c r="BN30" s="57">
        <v>50</v>
      </c>
      <c r="BO30" s="57">
        <v>1025</v>
      </c>
      <c r="BP30" s="57">
        <v>0</v>
      </c>
      <c r="BQ30" s="76">
        <v>110</v>
      </c>
      <c r="BR30" s="76">
        <v>109</v>
      </c>
      <c r="BS30">
        <v>109</v>
      </c>
      <c r="BT30">
        <v>109</v>
      </c>
      <c r="BU30">
        <v>109</v>
      </c>
      <c r="BV30">
        <v>11435</v>
      </c>
      <c r="BW30">
        <v>11357</v>
      </c>
      <c r="BX30">
        <v>11429</v>
      </c>
      <c r="BY30">
        <v>11288</v>
      </c>
      <c r="BZ30">
        <v>11098</v>
      </c>
      <c r="CA30">
        <v>59</v>
      </c>
      <c r="CB30">
        <v>62</v>
      </c>
      <c r="CC30">
        <v>55</v>
      </c>
      <c r="CD30">
        <v>55</v>
      </c>
      <c r="CE30">
        <v>39</v>
      </c>
      <c r="CF30">
        <v>3802</v>
      </c>
      <c r="CG30">
        <v>3777</v>
      </c>
      <c r="CH30">
        <v>3571</v>
      </c>
      <c r="CI30">
        <v>3514</v>
      </c>
      <c r="CJ30">
        <v>2253</v>
      </c>
      <c r="CK30" s="17">
        <v>30</v>
      </c>
      <c r="CL30" s="17">
        <v>30</v>
      </c>
      <c r="CM30" s="17">
        <v>30</v>
      </c>
      <c r="CN30" s="17">
        <v>19.25</v>
      </c>
      <c r="CO30" s="17">
        <v>19.25</v>
      </c>
      <c r="CP30" s="17">
        <v>19.25</v>
      </c>
      <c r="CQ30">
        <v>30</v>
      </c>
      <c r="CR30">
        <v>24</v>
      </c>
      <c r="CS30">
        <v>0</v>
      </c>
      <c r="CT30">
        <v>0</v>
      </c>
      <c r="CU30">
        <v>0</v>
      </c>
      <c r="CV30">
        <v>1</v>
      </c>
      <c r="CW30">
        <v>18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7</v>
      </c>
      <c r="DN30">
        <v>6</v>
      </c>
      <c r="DO30">
        <v>0</v>
      </c>
      <c r="DP30">
        <v>8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11</v>
      </c>
      <c r="DX30">
        <v>0</v>
      </c>
      <c r="DY30">
        <v>11</v>
      </c>
      <c r="DZ30">
        <v>5</v>
      </c>
      <c r="EA30">
        <v>0</v>
      </c>
      <c r="EB30">
        <v>11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2</v>
      </c>
      <c r="EM30">
        <v>0</v>
      </c>
      <c r="EN30">
        <v>2</v>
      </c>
      <c r="EO30">
        <v>0</v>
      </c>
      <c r="EP30">
        <v>0</v>
      </c>
      <c r="EQ30">
        <v>7</v>
      </c>
      <c r="ER30">
        <v>1</v>
      </c>
      <c r="ES30" s="17">
        <v>25</v>
      </c>
      <c r="ET30" s="17">
        <v>23</v>
      </c>
      <c r="EU30" s="17">
        <v>0</v>
      </c>
      <c r="EV30" s="17">
        <v>0</v>
      </c>
      <c r="EW30" s="17">
        <v>0</v>
      </c>
      <c r="EX30" s="17">
        <v>0</v>
      </c>
      <c r="EY30" s="17">
        <v>3</v>
      </c>
      <c r="EZ30" s="17">
        <v>0</v>
      </c>
      <c r="FA30" s="17">
        <v>0</v>
      </c>
      <c r="FB30" s="17">
        <v>0</v>
      </c>
      <c r="FC30" s="17">
        <v>0</v>
      </c>
      <c r="FD30" s="17">
        <v>0</v>
      </c>
      <c r="FE30" s="17">
        <v>0</v>
      </c>
      <c r="FF30" s="17">
        <v>0</v>
      </c>
      <c r="FG30" s="17">
        <v>0</v>
      </c>
      <c r="FH30" s="17">
        <v>0</v>
      </c>
      <c r="FI30" s="17">
        <v>0</v>
      </c>
      <c r="FJ30" s="17">
        <v>0</v>
      </c>
      <c r="FK30" s="82">
        <v>0</v>
      </c>
      <c r="FL30" s="82">
        <v>0</v>
      </c>
      <c r="FM30" s="82">
        <v>0</v>
      </c>
      <c r="FN30" s="82">
        <v>0</v>
      </c>
      <c r="FO30" s="82">
        <v>0</v>
      </c>
      <c r="FP30" s="17">
        <v>1</v>
      </c>
      <c r="FQ30" s="17">
        <v>0</v>
      </c>
      <c r="FR30" s="17">
        <v>0</v>
      </c>
      <c r="FS30" s="17">
        <v>0</v>
      </c>
      <c r="FT30" s="17">
        <v>0</v>
      </c>
      <c r="FU30" s="17">
        <v>0</v>
      </c>
      <c r="FV30" s="17">
        <v>0</v>
      </c>
      <c r="FW30" s="17">
        <v>0</v>
      </c>
      <c r="FX30" s="17">
        <v>1</v>
      </c>
      <c r="FY30" s="17">
        <v>2</v>
      </c>
      <c r="FZ30" s="17">
        <v>0</v>
      </c>
      <c r="GA30" s="17">
        <v>4</v>
      </c>
      <c r="GB30" s="17">
        <v>0</v>
      </c>
      <c r="GC30" s="17">
        <v>0</v>
      </c>
      <c r="GD30" s="17">
        <v>3</v>
      </c>
      <c r="GE30" s="17">
        <v>0</v>
      </c>
      <c r="GF30" s="17">
        <v>0</v>
      </c>
      <c r="GG30" s="17">
        <v>0</v>
      </c>
      <c r="GH30" s="17">
        <v>0</v>
      </c>
      <c r="GI30" s="17">
        <v>0</v>
      </c>
      <c r="GJ30" s="17">
        <v>0</v>
      </c>
      <c r="GK30" s="17">
        <v>0</v>
      </c>
      <c r="GL30" s="17">
        <v>0</v>
      </c>
      <c r="GM30" s="17">
        <v>0</v>
      </c>
      <c r="GN30" s="17">
        <v>0</v>
      </c>
      <c r="GO30" s="17">
        <v>0</v>
      </c>
      <c r="GP30" s="17">
        <v>0</v>
      </c>
      <c r="GQ30" s="17">
        <v>0</v>
      </c>
      <c r="GR30" s="17">
        <v>0</v>
      </c>
      <c r="GS30" s="17">
        <v>0</v>
      </c>
      <c r="GT30" s="17">
        <v>1</v>
      </c>
      <c r="GU30" s="17">
        <v>34</v>
      </c>
      <c r="GV30" s="17">
        <v>24</v>
      </c>
      <c r="GW30" s="17">
        <v>23</v>
      </c>
      <c r="GX30" s="17">
        <v>0</v>
      </c>
      <c r="GY30" s="17">
        <v>0</v>
      </c>
      <c r="GZ30" s="17">
        <v>0</v>
      </c>
      <c r="HA30" s="17">
        <v>1</v>
      </c>
      <c r="HB30" s="17">
        <v>23</v>
      </c>
      <c r="HC30" s="17">
        <v>0</v>
      </c>
      <c r="HD30" s="17">
        <v>0</v>
      </c>
      <c r="HE30" s="17">
        <v>0</v>
      </c>
      <c r="HF30" s="17">
        <v>0</v>
      </c>
      <c r="HG30" s="17">
        <v>0</v>
      </c>
      <c r="HH30" s="17">
        <v>0</v>
      </c>
      <c r="HI30" s="17">
        <v>0</v>
      </c>
      <c r="HJ30" s="17">
        <v>0</v>
      </c>
      <c r="HK30" s="17">
        <v>0</v>
      </c>
      <c r="HL30" s="17">
        <v>0</v>
      </c>
      <c r="HM30" s="17">
        <v>0</v>
      </c>
      <c r="HN30" s="82">
        <v>0</v>
      </c>
      <c r="HO30" s="82">
        <v>0</v>
      </c>
      <c r="HP30" s="82">
        <v>0</v>
      </c>
      <c r="HQ30" s="82">
        <v>0</v>
      </c>
      <c r="HR30" s="82">
        <v>0</v>
      </c>
      <c r="HS30" s="17">
        <v>0</v>
      </c>
      <c r="HT30" s="17">
        <v>0</v>
      </c>
      <c r="HU30" s="17">
        <v>0</v>
      </c>
      <c r="HV30" s="17">
        <v>0</v>
      </c>
      <c r="HW30" s="17">
        <v>0</v>
      </c>
      <c r="HX30" s="17">
        <v>0</v>
      </c>
      <c r="HY30" s="17">
        <v>0</v>
      </c>
      <c r="HZ30" s="17">
        <v>0</v>
      </c>
      <c r="IA30" s="17">
        <v>0</v>
      </c>
      <c r="IB30" s="17">
        <v>0</v>
      </c>
      <c r="IC30" s="17">
        <v>0</v>
      </c>
      <c r="ID30" s="17">
        <v>3</v>
      </c>
      <c r="IE30" s="17">
        <v>0</v>
      </c>
      <c r="IF30" s="17">
        <v>0</v>
      </c>
      <c r="IG30" s="17">
        <v>0</v>
      </c>
      <c r="IH30" s="17">
        <v>0</v>
      </c>
      <c r="II30" s="17">
        <v>0</v>
      </c>
      <c r="IJ30" s="17">
        <v>0</v>
      </c>
      <c r="IK30" s="17">
        <v>0</v>
      </c>
      <c r="IL30" s="17">
        <v>0</v>
      </c>
      <c r="IM30" s="17">
        <v>1</v>
      </c>
      <c r="IN30" s="17">
        <v>0</v>
      </c>
      <c r="IO30" s="17">
        <v>2</v>
      </c>
      <c r="IP30" s="17">
        <v>0</v>
      </c>
      <c r="IQ30" s="17">
        <v>4</v>
      </c>
      <c r="IR30" s="17">
        <v>0</v>
      </c>
      <c r="IS30" s="17">
        <v>0</v>
      </c>
      <c r="IT30" s="17">
        <v>0</v>
      </c>
      <c r="IU30" s="17">
        <v>0</v>
      </c>
      <c r="IV30" s="17">
        <v>0</v>
      </c>
      <c r="IW30" s="17">
        <v>11</v>
      </c>
      <c r="IX30" s="17">
        <v>0</v>
      </c>
      <c r="IY30" s="17">
        <v>0</v>
      </c>
      <c r="IZ30" s="17">
        <v>0</v>
      </c>
      <c r="JA30" s="85" t="s">
        <v>602</v>
      </c>
      <c r="JB30" s="85">
        <v>0</v>
      </c>
      <c r="JC30" s="85" t="s">
        <v>361</v>
      </c>
      <c r="JD30" s="17">
        <v>3</v>
      </c>
      <c r="JE30" s="17">
        <v>2</v>
      </c>
      <c r="JF30" s="17">
        <v>4</v>
      </c>
      <c r="JG30" s="17">
        <v>4</v>
      </c>
      <c r="JH30" s="17">
        <v>4</v>
      </c>
      <c r="JI30" s="17">
        <v>4</v>
      </c>
      <c r="JJ30" s="17" t="s">
        <v>619</v>
      </c>
      <c r="JK30" s="17" t="s">
        <v>619</v>
      </c>
      <c r="JL30" s="17" t="s">
        <v>296</v>
      </c>
      <c r="JM30" s="89"/>
      <c r="JN30" s="89"/>
      <c r="JO30" s="89" t="s">
        <v>296</v>
      </c>
      <c r="JP30" s="89"/>
      <c r="JQ30" s="89"/>
      <c r="JR30" s="89" t="s">
        <v>296</v>
      </c>
      <c r="JS30" s="89" t="s">
        <v>620</v>
      </c>
      <c r="JT30" s="89" t="s">
        <v>619</v>
      </c>
      <c r="JU30" s="89" t="s">
        <v>297</v>
      </c>
      <c r="JV30" s="89"/>
      <c r="JW30" s="89"/>
      <c r="JX30" s="89" t="s">
        <v>297</v>
      </c>
      <c r="JY30" s="17" t="s">
        <v>619</v>
      </c>
      <c r="JZ30" s="17" t="s">
        <v>34</v>
      </c>
      <c r="KA30" s="17" t="s">
        <v>34</v>
      </c>
      <c r="KB30" s="17" t="s">
        <v>34</v>
      </c>
      <c r="KC30" s="17" t="s">
        <v>34</v>
      </c>
      <c r="KD30" s="17" t="s">
        <v>619</v>
      </c>
      <c r="KE30" s="17" t="s">
        <v>34</v>
      </c>
      <c r="KF30" s="17"/>
      <c r="KG30" s="17" t="s">
        <v>34</v>
      </c>
      <c r="KH30" s="17" t="s">
        <v>34</v>
      </c>
      <c r="KI30" s="17" t="s">
        <v>619</v>
      </c>
      <c r="KJ30" s="17" t="s">
        <v>34</v>
      </c>
      <c r="KK30" s="17" t="s">
        <v>34</v>
      </c>
      <c r="KL30" s="17" t="s">
        <v>34</v>
      </c>
      <c r="KM30" s="17" t="s">
        <v>34</v>
      </c>
      <c r="KN30" s="17" t="s">
        <v>619</v>
      </c>
      <c r="KO30" s="17" t="s">
        <v>34</v>
      </c>
      <c r="KP30" s="17" t="s">
        <v>619</v>
      </c>
      <c r="KQ30" s="17" t="s">
        <v>619</v>
      </c>
      <c r="KR30" s="17" t="s">
        <v>619</v>
      </c>
      <c r="KS30" s="17" t="s">
        <v>34</v>
      </c>
      <c r="KT30" s="17" t="s">
        <v>619</v>
      </c>
      <c r="KU30" s="17" t="s">
        <v>619</v>
      </c>
      <c r="KV30" s="17" t="s">
        <v>34</v>
      </c>
      <c r="KW30" s="17" t="s">
        <v>34</v>
      </c>
      <c r="KX30" s="17" t="s">
        <v>619</v>
      </c>
      <c r="KY30" s="17" t="s">
        <v>619</v>
      </c>
      <c r="KZ30" s="17" t="s">
        <v>34</v>
      </c>
      <c r="LA30" s="17" t="s">
        <v>34</v>
      </c>
      <c r="LB30" s="17" t="s">
        <v>619</v>
      </c>
      <c r="LC30" s="17" t="s">
        <v>34</v>
      </c>
      <c r="LD30" s="17" t="s">
        <v>34</v>
      </c>
      <c r="LE30" s="17" t="s">
        <v>34</v>
      </c>
      <c r="LF30" s="17" t="s">
        <v>34</v>
      </c>
      <c r="LG30" s="17" t="s">
        <v>34</v>
      </c>
      <c r="LH30" s="17" t="s">
        <v>34</v>
      </c>
      <c r="LI30" s="17" t="s">
        <v>619</v>
      </c>
      <c r="LJ30" s="17" t="s">
        <v>619</v>
      </c>
      <c r="LK30" s="17" t="s">
        <v>619</v>
      </c>
      <c r="LL30" s="17" t="s">
        <v>34</v>
      </c>
      <c r="LM30" s="17" t="s">
        <v>34</v>
      </c>
      <c r="LN30" s="17" t="s">
        <v>34</v>
      </c>
      <c r="LO30" s="17" t="s">
        <v>34</v>
      </c>
      <c r="LP30" s="91" t="s">
        <v>34</v>
      </c>
      <c r="LQ30" s="17" t="s">
        <v>34</v>
      </c>
      <c r="LR30" s="17" t="s">
        <v>34</v>
      </c>
      <c r="LS30" s="17"/>
      <c r="LT30" s="17" t="s">
        <v>34</v>
      </c>
      <c r="LU30" s="17" t="s">
        <v>34</v>
      </c>
      <c r="LV30" s="17" t="s">
        <v>34</v>
      </c>
      <c r="LW30" s="17" t="s">
        <v>34</v>
      </c>
      <c r="LX30" s="17" t="s">
        <v>34</v>
      </c>
      <c r="LY30" s="17" t="s">
        <v>34</v>
      </c>
      <c r="LZ30" s="17" t="s">
        <v>34</v>
      </c>
      <c r="MA30" s="17" t="s">
        <v>619</v>
      </c>
      <c r="MB30" s="17" t="s">
        <v>34</v>
      </c>
      <c r="MC30" s="17" t="s">
        <v>34</v>
      </c>
      <c r="MD30" s="17" t="s">
        <v>619</v>
      </c>
      <c r="ME30" s="17" t="s">
        <v>34</v>
      </c>
      <c r="MF30" s="17" t="s">
        <v>34</v>
      </c>
      <c r="MG30" s="17" t="s">
        <v>34</v>
      </c>
      <c r="MH30" s="17" t="s">
        <v>34</v>
      </c>
      <c r="MI30" s="17" t="s">
        <v>34</v>
      </c>
      <c r="MJ30" s="17" t="s">
        <v>34</v>
      </c>
      <c r="MK30" s="17" t="s">
        <v>34</v>
      </c>
      <c r="ML30" s="17" t="s">
        <v>619</v>
      </c>
      <c r="MM30" s="17" t="s">
        <v>34</v>
      </c>
      <c r="MN30" s="17" t="s">
        <v>34</v>
      </c>
      <c r="MO30" s="17" t="s">
        <v>619</v>
      </c>
      <c r="MP30" s="17" t="s">
        <v>34</v>
      </c>
      <c r="MQ30" s="17" t="s">
        <v>34</v>
      </c>
      <c r="MR30" s="17" t="s">
        <v>34</v>
      </c>
      <c r="MS30" s="17" t="s">
        <v>34</v>
      </c>
      <c r="MT30" s="17" t="s">
        <v>34</v>
      </c>
      <c r="MU30" s="17" t="s">
        <v>34</v>
      </c>
      <c r="MV30" s="17" t="s">
        <v>34</v>
      </c>
      <c r="MW30" s="17" t="s">
        <v>34</v>
      </c>
      <c r="MX30" s="17" t="s">
        <v>619</v>
      </c>
      <c r="MY30" s="28" t="s">
        <v>297</v>
      </c>
      <c r="MZ30" s="28" t="s">
        <v>297</v>
      </c>
      <c r="NA30" s="28" t="s">
        <v>296</v>
      </c>
      <c r="NB30" s="28" t="s">
        <v>296</v>
      </c>
      <c r="NC30" s="28" t="s">
        <v>296</v>
      </c>
      <c r="ND30" s="28" t="s">
        <v>296</v>
      </c>
      <c r="NE30" s="28" t="s">
        <v>296</v>
      </c>
      <c r="NF30" s="28" t="s">
        <v>297</v>
      </c>
      <c r="NG30" s="28" t="s">
        <v>297</v>
      </c>
      <c r="NH30" s="28" t="s">
        <v>297</v>
      </c>
      <c r="NI30" s="177" t="s">
        <v>296</v>
      </c>
      <c r="NJ30" s="177" t="s">
        <v>297</v>
      </c>
      <c r="NK30" s="177" t="s">
        <v>296</v>
      </c>
      <c r="NL30" s="177" t="s">
        <v>297</v>
      </c>
      <c r="NM30" s="177" t="s">
        <v>296</v>
      </c>
      <c r="NN30" s="177" t="s">
        <v>296</v>
      </c>
      <c r="NO30" s="177" t="s">
        <v>296</v>
      </c>
      <c r="NP30" s="177" t="s">
        <v>297</v>
      </c>
      <c r="NQ30" s="177" t="s">
        <v>297</v>
      </c>
      <c r="NR30" s="12" t="s">
        <v>34</v>
      </c>
      <c r="NS30" s="13" t="s">
        <v>34</v>
      </c>
    </row>
    <row r="31" spans="1:383" x14ac:dyDescent="0.25">
      <c r="A31" s="15" t="s">
        <v>101</v>
      </c>
      <c r="B31" s="16" t="s">
        <v>102</v>
      </c>
      <c r="C31" s="16">
        <v>94</v>
      </c>
      <c r="D31" s="16" t="s">
        <v>100</v>
      </c>
      <c r="E31" s="17">
        <v>3</v>
      </c>
      <c r="F31" s="17">
        <v>3</v>
      </c>
      <c r="G31" s="17">
        <v>10</v>
      </c>
      <c r="H31" s="17">
        <v>6</v>
      </c>
      <c r="I31" s="17">
        <v>5</v>
      </c>
      <c r="J31" s="17">
        <v>9</v>
      </c>
      <c r="K31" s="17">
        <v>5</v>
      </c>
      <c r="L31" s="17">
        <v>34</v>
      </c>
      <c r="M31" s="17">
        <v>13</v>
      </c>
      <c r="N31" s="17">
        <v>60</v>
      </c>
      <c r="O31" s="17">
        <v>311</v>
      </c>
      <c r="P31" s="17">
        <v>538</v>
      </c>
      <c r="Q31" s="17">
        <v>1939</v>
      </c>
      <c r="R31" s="17">
        <v>1289</v>
      </c>
      <c r="S31" s="17">
        <v>1111</v>
      </c>
      <c r="T31" s="17">
        <v>0</v>
      </c>
      <c r="U31" s="17">
        <v>0</v>
      </c>
      <c r="V31" s="17">
        <v>539</v>
      </c>
      <c r="W31" s="17">
        <v>445</v>
      </c>
      <c r="X31" s="17">
        <v>183</v>
      </c>
      <c r="Y31" s="17">
        <v>3.27</v>
      </c>
      <c r="Z31" s="17">
        <v>3.77</v>
      </c>
      <c r="AA31" s="17">
        <v>3.77</v>
      </c>
      <c r="AB31" s="17">
        <v>3.27</v>
      </c>
      <c r="AC31" s="17">
        <v>3.77</v>
      </c>
      <c r="AD31" s="17">
        <v>3.77</v>
      </c>
      <c r="AE31" s="35" t="s">
        <v>258</v>
      </c>
      <c r="AF31" s="35" t="s">
        <v>258</v>
      </c>
      <c r="AG31" s="35" t="s">
        <v>258</v>
      </c>
      <c r="AH31" s="38">
        <v>0.5</v>
      </c>
      <c r="AI31" s="38">
        <v>0.5</v>
      </c>
      <c r="AJ31" s="38">
        <v>0.6</v>
      </c>
      <c r="AK31" s="45" t="s">
        <v>34</v>
      </c>
      <c r="AL31" s="45" t="s">
        <v>34</v>
      </c>
      <c r="AM31" s="45" t="s">
        <v>34</v>
      </c>
      <c r="AN31" s="45" t="s">
        <v>34</v>
      </c>
      <c r="AO31" s="45" t="s">
        <v>34</v>
      </c>
      <c r="AP31" s="45" t="s">
        <v>34</v>
      </c>
      <c r="AQ31" s="53" t="s">
        <v>297</v>
      </c>
      <c r="AR31" s="56">
        <v>32</v>
      </c>
      <c r="AS31" s="57">
        <v>12</v>
      </c>
      <c r="AT31" s="56">
        <v>48</v>
      </c>
      <c r="AU31" s="57">
        <v>5144</v>
      </c>
      <c r="AV31" s="57">
        <v>1216</v>
      </c>
      <c r="AW31" s="57">
        <v>1719</v>
      </c>
      <c r="AX31" s="57">
        <v>0</v>
      </c>
      <c r="AY31" s="57">
        <v>0</v>
      </c>
      <c r="AZ31" s="57">
        <v>0</v>
      </c>
      <c r="BA31" s="57">
        <v>650</v>
      </c>
      <c r="BB31" s="57">
        <v>426</v>
      </c>
      <c r="BC31" s="57">
        <v>159</v>
      </c>
      <c r="BD31" s="57">
        <v>330</v>
      </c>
      <c r="BE31" s="57">
        <v>169</v>
      </c>
      <c r="BF31" s="57">
        <v>318</v>
      </c>
      <c r="BG31" s="57">
        <v>342</v>
      </c>
      <c r="BH31" s="57">
        <v>614</v>
      </c>
      <c r="BI31" s="57">
        <v>740</v>
      </c>
      <c r="BJ31" s="57" t="s">
        <v>296</v>
      </c>
      <c r="BK31" s="57">
        <v>1</v>
      </c>
      <c r="BL31" s="57">
        <v>1</v>
      </c>
      <c r="BM31" s="57">
        <v>0</v>
      </c>
      <c r="BN31" s="57">
        <v>0</v>
      </c>
      <c r="BO31" s="57">
        <v>567</v>
      </c>
      <c r="BP31" s="57">
        <v>0</v>
      </c>
      <c r="BQ31" s="76">
        <v>140</v>
      </c>
      <c r="BR31" s="76">
        <v>140</v>
      </c>
      <c r="BS31">
        <v>139</v>
      </c>
      <c r="BT31">
        <v>139</v>
      </c>
      <c r="BU31">
        <v>139</v>
      </c>
      <c r="BV31">
        <v>13470</v>
      </c>
      <c r="BW31">
        <v>13369</v>
      </c>
      <c r="BX31">
        <v>13266</v>
      </c>
      <c r="BY31">
        <v>13094</v>
      </c>
      <c r="BZ31">
        <v>12866</v>
      </c>
      <c r="CA31" t="s">
        <v>360</v>
      </c>
      <c r="CB31">
        <v>3</v>
      </c>
      <c r="CC31">
        <v>26</v>
      </c>
      <c r="CD31">
        <v>15</v>
      </c>
      <c r="CE31">
        <v>22</v>
      </c>
      <c r="CF31">
        <v>311</v>
      </c>
      <c r="CG31">
        <v>538</v>
      </c>
      <c r="CH31">
        <v>2478</v>
      </c>
      <c r="CI31">
        <v>1734</v>
      </c>
      <c r="CJ31">
        <v>1294</v>
      </c>
      <c r="CK31" s="17">
        <v>15</v>
      </c>
      <c r="CL31" s="17">
        <v>15.1</v>
      </c>
      <c r="CM31" s="17">
        <v>15.1</v>
      </c>
      <c r="CN31" s="17">
        <v>12.73</v>
      </c>
      <c r="CO31" s="17">
        <v>12.73</v>
      </c>
      <c r="CP31" s="17">
        <v>12.73</v>
      </c>
      <c r="CQ31" s="17">
        <v>48</v>
      </c>
      <c r="CR31" s="17">
        <v>26</v>
      </c>
      <c r="CS31" s="17">
        <v>0</v>
      </c>
      <c r="CT31" s="17">
        <v>0</v>
      </c>
      <c r="CU31" s="17">
        <v>0</v>
      </c>
      <c r="CV31" s="17">
        <v>1</v>
      </c>
      <c r="CW31" s="17">
        <v>18</v>
      </c>
      <c r="CX31" s="17">
        <v>0</v>
      </c>
      <c r="CY31" s="17">
        <v>0</v>
      </c>
      <c r="CZ31" s="17">
        <v>0</v>
      </c>
      <c r="DA31" s="17">
        <v>0</v>
      </c>
      <c r="DB31" s="17">
        <v>2</v>
      </c>
      <c r="DC31" s="17">
        <v>0</v>
      </c>
      <c r="DD31" s="17">
        <v>0</v>
      </c>
      <c r="DE31" s="17">
        <v>0</v>
      </c>
      <c r="DF31" s="17">
        <v>4</v>
      </c>
      <c r="DG31" s="17">
        <v>0</v>
      </c>
      <c r="DH31" s="17">
        <v>0</v>
      </c>
      <c r="DI31" s="82">
        <v>0</v>
      </c>
      <c r="DJ31" s="82">
        <v>0</v>
      </c>
      <c r="DK31" s="82">
        <v>0</v>
      </c>
      <c r="DL31" s="82">
        <v>0</v>
      </c>
      <c r="DM31" s="82">
        <v>9</v>
      </c>
      <c r="DN31" s="17">
        <v>18</v>
      </c>
      <c r="DO31" s="17">
        <v>0</v>
      </c>
      <c r="DP31" s="17">
        <v>9</v>
      </c>
      <c r="DQ31" s="17">
        <v>0</v>
      </c>
      <c r="DR31" s="17">
        <v>0</v>
      </c>
      <c r="DS31" s="17">
        <v>0</v>
      </c>
      <c r="DT31" s="17">
        <v>0</v>
      </c>
      <c r="DU31" s="17">
        <v>0</v>
      </c>
      <c r="DV31" s="17">
        <v>12</v>
      </c>
      <c r="DW31" s="17">
        <v>16</v>
      </c>
      <c r="DX31" s="17">
        <v>0</v>
      </c>
      <c r="DY31" s="17">
        <v>20</v>
      </c>
      <c r="DZ31" s="17">
        <v>9</v>
      </c>
      <c r="EA31" s="17">
        <v>0</v>
      </c>
      <c r="EB31" s="17">
        <v>24</v>
      </c>
      <c r="EC31" s="17">
        <v>0</v>
      </c>
      <c r="ED31" s="17">
        <v>13</v>
      </c>
      <c r="EE31" s="17">
        <v>0</v>
      </c>
      <c r="EF31" s="17">
        <v>0</v>
      </c>
      <c r="EG31" s="17">
        <v>0</v>
      </c>
      <c r="EH31" s="17">
        <v>0</v>
      </c>
      <c r="EI31" s="17">
        <v>0</v>
      </c>
      <c r="EJ31" s="17">
        <v>0</v>
      </c>
      <c r="EK31" s="17">
        <v>9</v>
      </c>
      <c r="EL31" s="17">
        <v>7</v>
      </c>
      <c r="EM31" s="17">
        <v>10</v>
      </c>
      <c r="EN31" s="17">
        <v>2</v>
      </c>
      <c r="EO31" s="17">
        <v>0</v>
      </c>
      <c r="EP31" s="17">
        <v>1</v>
      </c>
      <c r="EQ31" s="17">
        <v>17</v>
      </c>
      <c r="ER31" s="17">
        <v>1</v>
      </c>
      <c r="ES31" s="17">
        <v>2</v>
      </c>
      <c r="ET31" s="17">
        <v>1</v>
      </c>
      <c r="EU31" s="17">
        <v>0</v>
      </c>
      <c r="EV31" s="17">
        <v>0</v>
      </c>
      <c r="EW31" s="17">
        <v>0</v>
      </c>
      <c r="EX31" s="17">
        <v>0</v>
      </c>
      <c r="EY31" s="17">
        <v>0</v>
      </c>
      <c r="EZ31" s="17">
        <v>0</v>
      </c>
      <c r="FA31" s="17">
        <v>0</v>
      </c>
      <c r="FB31" s="17">
        <v>0</v>
      </c>
      <c r="FC31" s="17">
        <v>0</v>
      </c>
      <c r="FD31" s="17">
        <v>1</v>
      </c>
      <c r="FE31" s="17">
        <v>0</v>
      </c>
      <c r="FF31" s="17">
        <v>0</v>
      </c>
      <c r="FG31" s="17">
        <v>0</v>
      </c>
      <c r="FH31" s="17">
        <v>1</v>
      </c>
      <c r="FI31" s="17">
        <v>0</v>
      </c>
      <c r="FJ31" s="17">
        <v>2</v>
      </c>
      <c r="FK31" s="82">
        <v>0</v>
      </c>
      <c r="FL31" s="82">
        <v>0</v>
      </c>
      <c r="FM31" s="82">
        <v>0</v>
      </c>
      <c r="FN31" s="82">
        <v>0</v>
      </c>
      <c r="FO31" s="82">
        <v>1</v>
      </c>
      <c r="FP31" s="17">
        <v>3</v>
      </c>
      <c r="FQ31" s="17">
        <v>0</v>
      </c>
      <c r="FR31" s="17">
        <v>0</v>
      </c>
      <c r="FS31" s="17">
        <v>0</v>
      </c>
      <c r="FT31" s="17">
        <v>0</v>
      </c>
      <c r="FU31" s="17">
        <v>0</v>
      </c>
      <c r="FV31" s="17">
        <v>0</v>
      </c>
      <c r="FW31" s="17">
        <v>0</v>
      </c>
      <c r="FX31" s="17">
        <v>3</v>
      </c>
      <c r="FY31" s="17">
        <v>7</v>
      </c>
      <c r="FZ31" s="17">
        <v>0</v>
      </c>
      <c r="GA31" s="17">
        <v>4</v>
      </c>
      <c r="GB31" s="17">
        <v>0</v>
      </c>
      <c r="GC31" s="17">
        <v>0</v>
      </c>
      <c r="GD31" s="17">
        <v>0</v>
      </c>
      <c r="GE31" s="17">
        <v>0</v>
      </c>
      <c r="GF31" s="17">
        <v>0</v>
      </c>
      <c r="GG31" s="17">
        <v>0</v>
      </c>
      <c r="GH31" s="17">
        <v>0</v>
      </c>
      <c r="GI31" s="17">
        <v>0</v>
      </c>
      <c r="GJ31" s="17">
        <v>1</v>
      </c>
      <c r="GK31" s="17">
        <v>0</v>
      </c>
      <c r="GL31" s="17">
        <v>0</v>
      </c>
      <c r="GM31" s="17">
        <v>0</v>
      </c>
      <c r="GN31" s="17">
        <v>0</v>
      </c>
      <c r="GO31" s="17">
        <v>0</v>
      </c>
      <c r="GP31" s="17">
        <v>0</v>
      </c>
      <c r="GQ31" s="17">
        <v>1</v>
      </c>
      <c r="GR31" s="17">
        <v>0</v>
      </c>
      <c r="GS31" s="17">
        <v>0</v>
      </c>
      <c r="GT31" s="17">
        <v>0</v>
      </c>
      <c r="GU31" s="17">
        <v>12</v>
      </c>
      <c r="GV31" s="17">
        <v>3</v>
      </c>
      <c r="GW31" s="17">
        <v>9</v>
      </c>
      <c r="GX31" s="17">
        <v>0</v>
      </c>
      <c r="GY31" s="17">
        <v>0</v>
      </c>
      <c r="GZ31" s="17">
        <v>0</v>
      </c>
      <c r="HA31" s="17">
        <v>0</v>
      </c>
      <c r="HB31" s="17">
        <v>17</v>
      </c>
      <c r="HC31" s="17">
        <v>0</v>
      </c>
      <c r="HD31" s="17">
        <v>0</v>
      </c>
      <c r="HE31" s="17">
        <v>0</v>
      </c>
      <c r="HF31" s="17">
        <v>0</v>
      </c>
      <c r="HG31" s="17">
        <v>0</v>
      </c>
      <c r="HH31" s="17">
        <v>0</v>
      </c>
      <c r="HI31" s="17">
        <v>0</v>
      </c>
      <c r="HJ31" s="17">
        <v>0</v>
      </c>
      <c r="HK31" s="17">
        <v>8</v>
      </c>
      <c r="HL31" s="17">
        <v>0</v>
      </c>
      <c r="HM31" s="17">
        <v>0</v>
      </c>
      <c r="HN31" s="82">
        <v>0</v>
      </c>
      <c r="HO31" s="82">
        <v>0</v>
      </c>
      <c r="HP31" s="82">
        <v>0</v>
      </c>
      <c r="HQ31" s="82">
        <v>0</v>
      </c>
      <c r="HR31" s="82">
        <v>0</v>
      </c>
      <c r="HS31" s="17">
        <v>0</v>
      </c>
      <c r="HT31" s="17">
        <v>0</v>
      </c>
      <c r="HU31" s="17">
        <v>0</v>
      </c>
      <c r="HV31" s="17">
        <v>0</v>
      </c>
      <c r="HW31" s="17">
        <v>0</v>
      </c>
      <c r="HX31" s="17">
        <v>0</v>
      </c>
      <c r="HY31" s="17">
        <v>0</v>
      </c>
      <c r="HZ31" s="17">
        <v>0</v>
      </c>
      <c r="IA31" s="17">
        <v>0</v>
      </c>
      <c r="IB31" s="17">
        <v>0</v>
      </c>
      <c r="IC31" s="17">
        <v>0</v>
      </c>
      <c r="ID31" s="17">
        <v>0</v>
      </c>
      <c r="IE31" s="17">
        <v>0</v>
      </c>
      <c r="IF31" s="17">
        <v>0</v>
      </c>
      <c r="IG31" s="17">
        <v>3</v>
      </c>
      <c r="IH31" s="17">
        <v>0</v>
      </c>
      <c r="II31" s="17">
        <v>3</v>
      </c>
      <c r="IJ31" s="17">
        <v>0</v>
      </c>
      <c r="IK31" s="17">
        <v>0</v>
      </c>
      <c r="IL31" s="17">
        <v>0</v>
      </c>
      <c r="IM31" s="17">
        <v>0</v>
      </c>
      <c r="IN31" s="17">
        <v>0</v>
      </c>
      <c r="IO31" s="17">
        <v>4</v>
      </c>
      <c r="IP31" s="17">
        <v>0</v>
      </c>
      <c r="IQ31" s="17">
        <v>0</v>
      </c>
      <c r="IR31" s="17">
        <v>0</v>
      </c>
      <c r="IS31" s="17">
        <v>0</v>
      </c>
      <c r="IT31" s="17">
        <v>0</v>
      </c>
      <c r="IU31" s="17">
        <v>0</v>
      </c>
      <c r="IV31" s="17">
        <v>0</v>
      </c>
      <c r="IW31" s="17">
        <v>0</v>
      </c>
      <c r="IX31" s="17">
        <v>0</v>
      </c>
      <c r="IY31" s="17">
        <v>2000</v>
      </c>
      <c r="IZ31" s="17">
        <v>0</v>
      </c>
      <c r="JA31" s="85">
        <v>1</v>
      </c>
      <c r="JB31" s="85">
        <v>1</v>
      </c>
      <c r="JC31" s="85">
        <v>1</v>
      </c>
      <c r="JD31" s="17">
        <v>4</v>
      </c>
      <c r="JE31" s="17">
        <v>3</v>
      </c>
      <c r="JF31" s="17">
        <v>5</v>
      </c>
      <c r="JG31" s="17">
        <v>2</v>
      </c>
      <c r="JH31" s="17">
        <v>5</v>
      </c>
      <c r="JI31" s="17">
        <v>4</v>
      </c>
      <c r="JJ31" s="17" t="s">
        <v>620</v>
      </c>
      <c r="JK31" s="17" t="s">
        <v>619</v>
      </c>
      <c r="JL31" s="17" t="s">
        <v>297</v>
      </c>
      <c r="JM31" s="89"/>
      <c r="JN31" s="89"/>
      <c r="JO31" s="89" t="s">
        <v>297</v>
      </c>
      <c r="JP31" s="89"/>
      <c r="JQ31" s="89"/>
      <c r="JR31" s="89" t="s">
        <v>296</v>
      </c>
      <c r="JS31" s="89" t="s">
        <v>620</v>
      </c>
      <c r="JT31" s="89" t="s">
        <v>620</v>
      </c>
      <c r="JU31" s="89" t="s">
        <v>297</v>
      </c>
      <c r="JV31" s="89"/>
      <c r="JW31" s="89"/>
      <c r="JX31" s="89" t="s">
        <v>297</v>
      </c>
      <c r="JY31" s="17" t="s">
        <v>34</v>
      </c>
      <c r="JZ31" s="17" t="s">
        <v>34</v>
      </c>
      <c r="KA31" s="17" t="s">
        <v>34</v>
      </c>
      <c r="KB31" s="17" t="s">
        <v>34</v>
      </c>
      <c r="KC31" s="17" t="s">
        <v>619</v>
      </c>
      <c r="KD31" s="17" t="s">
        <v>34</v>
      </c>
      <c r="KE31" s="17" t="s">
        <v>34</v>
      </c>
      <c r="KF31" s="17"/>
      <c r="KG31" s="17" t="s">
        <v>34</v>
      </c>
      <c r="KH31" s="17" t="s">
        <v>34</v>
      </c>
      <c r="KI31" s="17" t="s">
        <v>34</v>
      </c>
      <c r="KJ31" s="17" t="s">
        <v>34</v>
      </c>
      <c r="KK31" s="17" t="s">
        <v>34</v>
      </c>
      <c r="KL31" s="17" t="s">
        <v>34</v>
      </c>
      <c r="KM31" s="17" t="s">
        <v>34</v>
      </c>
      <c r="KN31" s="17" t="s">
        <v>619</v>
      </c>
      <c r="KO31" s="17" t="s">
        <v>34</v>
      </c>
      <c r="KP31" s="17" t="s">
        <v>34</v>
      </c>
      <c r="KQ31" s="17" t="s">
        <v>619</v>
      </c>
      <c r="KR31" s="17" t="s">
        <v>34</v>
      </c>
      <c r="KS31" s="17" t="s">
        <v>34</v>
      </c>
      <c r="KT31" s="17" t="s">
        <v>34</v>
      </c>
      <c r="KU31" s="17" t="s">
        <v>34</v>
      </c>
      <c r="KV31" s="17" t="s">
        <v>34</v>
      </c>
      <c r="KW31" s="17" t="s">
        <v>34</v>
      </c>
      <c r="KX31" s="17" t="s">
        <v>34</v>
      </c>
      <c r="KY31" s="17" t="s">
        <v>34</v>
      </c>
      <c r="KZ31" s="17" t="s">
        <v>34</v>
      </c>
      <c r="LA31" s="17" t="s">
        <v>34</v>
      </c>
      <c r="LB31" s="17" t="s">
        <v>619</v>
      </c>
      <c r="LC31" s="17" t="s">
        <v>34</v>
      </c>
      <c r="LD31" s="17" t="s">
        <v>34</v>
      </c>
      <c r="LE31" s="17" t="s">
        <v>34</v>
      </c>
      <c r="LF31" s="17" t="s">
        <v>34</v>
      </c>
      <c r="LG31" s="17" t="s">
        <v>34</v>
      </c>
      <c r="LH31" s="17" t="s">
        <v>34</v>
      </c>
      <c r="LI31" s="17" t="s">
        <v>619</v>
      </c>
      <c r="LJ31" s="17" t="s">
        <v>619</v>
      </c>
      <c r="LK31" s="17" t="s">
        <v>34</v>
      </c>
      <c r="LL31" s="17" t="s">
        <v>34</v>
      </c>
      <c r="LM31" s="17" t="s">
        <v>34</v>
      </c>
      <c r="LN31" s="17" t="s">
        <v>34</v>
      </c>
      <c r="LO31" s="17" t="s">
        <v>34</v>
      </c>
      <c r="LP31" s="91" t="s">
        <v>34</v>
      </c>
      <c r="LQ31" s="17" t="s">
        <v>34</v>
      </c>
      <c r="LR31" s="17" t="s">
        <v>34</v>
      </c>
      <c r="LS31" s="17"/>
      <c r="LT31" s="17" t="s">
        <v>34</v>
      </c>
      <c r="LU31" s="17" t="s">
        <v>34</v>
      </c>
      <c r="LV31" s="17" t="s">
        <v>34</v>
      </c>
      <c r="LW31" s="17" t="s">
        <v>34</v>
      </c>
      <c r="LX31" s="17" t="s">
        <v>34</v>
      </c>
      <c r="LY31" s="17" t="s">
        <v>34</v>
      </c>
      <c r="LZ31" s="17" t="s">
        <v>34</v>
      </c>
      <c r="MA31" s="17" t="s">
        <v>34</v>
      </c>
      <c r="MB31" s="17" t="s">
        <v>34</v>
      </c>
      <c r="MC31" s="17" t="s">
        <v>34</v>
      </c>
      <c r="MD31" s="17" t="s">
        <v>34</v>
      </c>
      <c r="ME31" s="17" t="s">
        <v>34</v>
      </c>
      <c r="MF31" s="17" t="s">
        <v>34</v>
      </c>
      <c r="MG31" s="17" t="s">
        <v>34</v>
      </c>
      <c r="MH31" s="17" t="s">
        <v>34</v>
      </c>
      <c r="MI31" s="17" t="s">
        <v>34</v>
      </c>
      <c r="MJ31" s="17" t="s">
        <v>34</v>
      </c>
      <c r="MK31" s="17" t="s">
        <v>34</v>
      </c>
      <c r="ML31" s="17" t="s">
        <v>34</v>
      </c>
      <c r="MM31" s="17" t="s">
        <v>34</v>
      </c>
      <c r="MN31" s="17" t="s">
        <v>34</v>
      </c>
      <c r="MO31" s="17" t="s">
        <v>34</v>
      </c>
      <c r="MP31" s="17" t="s">
        <v>34</v>
      </c>
      <c r="MQ31" s="17" t="s">
        <v>34</v>
      </c>
      <c r="MR31" s="17" t="s">
        <v>34</v>
      </c>
      <c r="MS31" s="17" t="s">
        <v>34</v>
      </c>
      <c r="MT31" s="17" t="s">
        <v>34</v>
      </c>
      <c r="MU31" s="17" t="s">
        <v>34</v>
      </c>
      <c r="MV31" s="17" t="s">
        <v>34</v>
      </c>
      <c r="MW31" s="17" t="s">
        <v>34</v>
      </c>
      <c r="MX31" s="17" t="s">
        <v>34</v>
      </c>
      <c r="MY31" s="28" t="s">
        <v>296</v>
      </c>
      <c r="MZ31" s="28" t="s">
        <v>297</v>
      </c>
      <c r="NA31" s="28" t="s">
        <v>297</v>
      </c>
      <c r="NB31" s="28" t="s">
        <v>296</v>
      </c>
      <c r="NC31" s="28" t="s">
        <v>296</v>
      </c>
      <c r="ND31" s="28" t="s">
        <v>297</v>
      </c>
      <c r="NE31" s="28" t="s">
        <v>297</v>
      </c>
      <c r="NF31" s="28" t="s">
        <v>296</v>
      </c>
      <c r="NG31" s="28" t="s">
        <v>297</v>
      </c>
      <c r="NH31" s="28" t="s">
        <v>297</v>
      </c>
      <c r="NI31" s="177" t="s">
        <v>297</v>
      </c>
      <c r="NJ31" s="177" t="s">
        <v>297</v>
      </c>
      <c r="NK31" s="177" t="s">
        <v>296</v>
      </c>
      <c r="NL31" s="177" t="s">
        <v>297</v>
      </c>
      <c r="NM31" s="177" t="s">
        <v>297</v>
      </c>
      <c r="NN31" s="177" t="s">
        <v>297</v>
      </c>
      <c r="NO31" s="177" t="s">
        <v>297</v>
      </c>
      <c r="NP31" s="177" t="s">
        <v>297</v>
      </c>
      <c r="NQ31" s="177" t="s">
        <v>297</v>
      </c>
      <c r="NR31" s="12" t="s">
        <v>34</v>
      </c>
      <c r="NS31" s="13" t="s">
        <v>34</v>
      </c>
    </row>
    <row r="32" spans="1:383" x14ac:dyDescent="0.25">
      <c r="A32" s="8" t="s">
        <v>103</v>
      </c>
      <c r="B32" s="9" t="s">
        <v>104</v>
      </c>
      <c r="C32" s="9">
        <v>76</v>
      </c>
      <c r="D32" s="9" t="s">
        <v>54</v>
      </c>
      <c r="E32" s="10">
        <v>117</v>
      </c>
      <c r="F32" s="10">
        <v>120</v>
      </c>
      <c r="G32" s="10">
        <v>110</v>
      </c>
      <c r="H32" s="10">
        <v>107</v>
      </c>
      <c r="I32" s="10">
        <v>93</v>
      </c>
      <c r="J32" s="11">
        <v>405</v>
      </c>
      <c r="K32" s="11">
        <v>415</v>
      </c>
      <c r="L32" s="11">
        <v>360</v>
      </c>
      <c r="M32" s="11">
        <v>323</v>
      </c>
      <c r="N32" s="11">
        <v>231</v>
      </c>
      <c r="O32" s="13">
        <v>5455</v>
      </c>
      <c r="P32" s="13">
        <v>5475</v>
      </c>
      <c r="Q32" s="13">
        <v>5475</v>
      </c>
      <c r="R32" s="13">
        <v>4137</v>
      </c>
      <c r="S32" s="13">
        <v>2600</v>
      </c>
      <c r="T32" s="12">
        <v>647</v>
      </c>
      <c r="U32" s="12">
        <v>668</v>
      </c>
      <c r="V32" s="12">
        <v>668</v>
      </c>
      <c r="W32" s="12">
        <v>410</v>
      </c>
      <c r="X32" s="12">
        <v>252</v>
      </c>
      <c r="Y32" s="12">
        <v>8.5</v>
      </c>
      <c r="Z32" s="12">
        <v>8.5</v>
      </c>
      <c r="AA32" s="12">
        <v>8.5</v>
      </c>
      <c r="AB32" s="13">
        <v>7.5</v>
      </c>
      <c r="AC32" s="13">
        <v>7.5</v>
      </c>
      <c r="AD32" s="13">
        <v>7.5</v>
      </c>
      <c r="AE32" s="35" t="s">
        <v>259</v>
      </c>
      <c r="AF32" s="35" t="s">
        <v>259</v>
      </c>
      <c r="AG32" s="35" t="s">
        <v>259</v>
      </c>
      <c r="AH32" s="38">
        <v>1</v>
      </c>
      <c r="AI32" s="38">
        <v>1</v>
      </c>
      <c r="AJ32" s="38">
        <v>1</v>
      </c>
      <c r="AK32" s="45" t="s">
        <v>288</v>
      </c>
      <c r="AL32" s="45" t="s">
        <v>34</v>
      </c>
      <c r="AM32" s="45" t="s">
        <v>34</v>
      </c>
      <c r="AN32" s="45" t="s">
        <v>34</v>
      </c>
      <c r="AO32" s="45" t="s">
        <v>34</v>
      </c>
      <c r="AP32" s="45" t="s">
        <v>292</v>
      </c>
      <c r="AQ32" s="53" t="s">
        <v>297</v>
      </c>
      <c r="AR32" s="56">
        <v>122</v>
      </c>
      <c r="AS32" s="57">
        <v>36</v>
      </c>
      <c r="AT32" s="56">
        <v>53</v>
      </c>
      <c r="AU32" s="57">
        <v>13021</v>
      </c>
      <c r="AV32" s="57">
        <v>3296</v>
      </c>
      <c r="AW32" s="57">
        <v>4755</v>
      </c>
      <c r="AX32" s="57">
        <v>19</v>
      </c>
      <c r="AY32" s="57">
        <v>4</v>
      </c>
      <c r="AZ32" s="57">
        <v>6</v>
      </c>
      <c r="BA32" s="57">
        <v>611</v>
      </c>
      <c r="BB32" s="57">
        <v>6988</v>
      </c>
      <c r="BC32" s="57">
        <v>10545</v>
      </c>
      <c r="BD32" s="57">
        <v>148</v>
      </c>
      <c r="BE32" s="57">
        <v>1057</v>
      </c>
      <c r="BF32" s="57">
        <v>1904</v>
      </c>
      <c r="BG32" s="57">
        <v>681</v>
      </c>
      <c r="BH32" s="57">
        <v>1612</v>
      </c>
      <c r="BI32" s="57">
        <v>3063</v>
      </c>
      <c r="BJ32" s="57" t="s">
        <v>296</v>
      </c>
      <c r="BK32" s="57">
        <v>8</v>
      </c>
      <c r="BL32" s="57">
        <v>3</v>
      </c>
      <c r="BM32" s="57">
        <v>0</v>
      </c>
      <c r="BN32" s="57">
        <v>90</v>
      </c>
      <c r="BO32" s="57">
        <v>650</v>
      </c>
      <c r="BP32" s="57">
        <v>150</v>
      </c>
      <c r="BQ32" s="76">
        <v>542</v>
      </c>
      <c r="BR32" s="76">
        <v>542</v>
      </c>
      <c r="BS32">
        <v>541</v>
      </c>
      <c r="BT32">
        <v>541</v>
      </c>
      <c r="BU32">
        <v>541</v>
      </c>
      <c r="BV32">
        <v>65057</v>
      </c>
      <c r="BW32">
        <v>64791</v>
      </c>
      <c r="BX32">
        <v>64504</v>
      </c>
      <c r="BY32">
        <v>64044</v>
      </c>
      <c r="BZ32">
        <v>63376</v>
      </c>
      <c r="CA32">
        <v>145</v>
      </c>
      <c r="CB32">
        <v>140</v>
      </c>
      <c r="CC32">
        <v>128</v>
      </c>
      <c r="CD32">
        <v>112</v>
      </c>
      <c r="CE32">
        <v>95</v>
      </c>
      <c r="CF32">
        <v>6102</v>
      </c>
      <c r="CG32">
        <v>6143</v>
      </c>
      <c r="CH32">
        <v>6143</v>
      </c>
      <c r="CI32">
        <v>4547</v>
      </c>
      <c r="CJ32">
        <v>2852</v>
      </c>
      <c r="CK32" s="10">
        <v>35</v>
      </c>
      <c r="CL32" s="10">
        <v>35</v>
      </c>
      <c r="CM32" s="10">
        <v>35</v>
      </c>
      <c r="CN32" s="11">
        <v>21</v>
      </c>
      <c r="CO32" s="11">
        <v>21</v>
      </c>
      <c r="CP32" s="11">
        <v>21</v>
      </c>
      <c r="CQ32" s="13">
        <v>40</v>
      </c>
      <c r="CR32" s="13">
        <v>11</v>
      </c>
      <c r="CS32" s="13">
        <v>0</v>
      </c>
      <c r="CT32" s="10">
        <v>0</v>
      </c>
      <c r="CU32" s="10">
        <v>0</v>
      </c>
      <c r="CV32" s="10">
        <v>9</v>
      </c>
      <c r="CW32" s="10">
        <v>5</v>
      </c>
      <c r="CX32" s="10">
        <v>5</v>
      </c>
      <c r="CY32" s="10">
        <v>3</v>
      </c>
      <c r="CZ32" s="10">
        <v>0</v>
      </c>
      <c r="DA32" s="10">
        <v>0</v>
      </c>
      <c r="DB32" s="10">
        <v>5</v>
      </c>
      <c r="DC32" s="10">
        <v>0</v>
      </c>
      <c r="DD32" s="10">
        <v>0</v>
      </c>
      <c r="DE32" s="10">
        <v>0</v>
      </c>
      <c r="DF32" s="10">
        <v>0</v>
      </c>
      <c r="DG32" s="10">
        <v>0</v>
      </c>
      <c r="DH32" s="10">
        <v>9</v>
      </c>
      <c r="DI32" s="81">
        <v>0</v>
      </c>
      <c r="DJ32" s="81">
        <v>0</v>
      </c>
      <c r="DK32" s="81">
        <v>4</v>
      </c>
      <c r="DL32" s="81">
        <v>0</v>
      </c>
      <c r="DM32" s="81">
        <v>3</v>
      </c>
      <c r="DN32" s="12">
        <v>4</v>
      </c>
      <c r="DO32" s="12">
        <v>5</v>
      </c>
      <c r="DP32" s="12">
        <v>4</v>
      </c>
      <c r="DQ32" s="12">
        <v>1</v>
      </c>
      <c r="DR32" s="12">
        <v>2</v>
      </c>
      <c r="DS32" s="12">
        <v>0</v>
      </c>
      <c r="DT32" s="12">
        <v>4</v>
      </c>
      <c r="DU32" s="12">
        <v>0</v>
      </c>
      <c r="DV32" s="12">
        <v>13</v>
      </c>
      <c r="DW32" s="12">
        <v>3</v>
      </c>
      <c r="DX32" s="12">
        <v>1</v>
      </c>
      <c r="DY32" s="12">
        <v>12</v>
      </c>
      <c r="DZ32" s="12">
        <v>6</v>
      </c>
      <c r="EA32" s="12">
        <v>1</v>
      </c>
      <c r="EB32" s="12">
        <v>14</v>
      </c>
      <c r="EC32" s="12">
        <v>0</v>
      </c>
      <c r="ED32" s="12">
        <v>12</v>
      </c>
      <c r="EE32" s="12">
        <v>11</v>
      </c>
      <c r="EF32" s="12">
        <v>1</v>
      </c>
      <c r="EG32" s="12">
        <v>0</v>
      </c>
      <c r="EH32" s="12">
        <v>0</v>
      </c>
      <c r="EI32" s="12">
        <v>1</v>
      </c>
      <c r="EJ32" s="12">
        <v>6</v>
      </c>
      <c r="EK32" s="12">
        <v>2</v>
      </c>
      <c r="EL32" s="12">
        <v>8</v>
      </c>
      <c r="EM32" s="12">
        <v>1</v>
      </c>
      <c r="EN32" s="12">
        <v>4</v>
      </c>
      <c r="EO32" s="12">
        <v>5</v>
      </c>
      <c r="EP32" s="12">
        <v>1</v>
      </c>
      <c r="EQ32" s="12">
        <v>0</v>
      </c>
      <c r="ER32" s="12">
        <v>1</v>
      </c>
      <c r="ES32" s="13">
        <v>10</v>
      </c>
      <c r="ET32" s="13">
        <v>4</v>
      </c>
      <c r="EU32" s="13">
        <v>0</v>
      </c>
      <c r="EV32" s="10">
        <v>0</v>
      </c>
      <c r="EW32" s="10">
        <v>0</v>
      </c>
      <c r="EX32" s="10">
        <v>3</v>
      </c>
      <c r="EY32" s="10">
        <v>0</v>
      </c>
      <c r="EZ32" s="10">
        <v>0</v>
      </c>
      <c r="FA32" s="10">
        <v>0</v>
      </c>
      <c r="FB32" s="10">
        <v>0</v>
      </c>
      <c r="FC32" s="10">
        <v>0</v>
      </c>
      <c r="FD32" s="10">
        <v>0</v>
      </c>
      <c r="FE32" s="10">
        <v>0</v>
      </c>
      <c r="FF32" s="10">
        <v>0</v>
      </c>
      <c r="FG32" s="10">
        <v>1</v>
      </c>
      <c r="FH32" s="10">
        <v>0</v>
      </c>
      <c r="FI32" s="10">
        <v>0</v>
      </c>
      <c r="FJ32" s="10">
        <v>5</v>
      </c>
      <c r="FK32" s="81">
        <v>0</v>
      </c>
      <c r="FL32" s="81">
        <v>0</v>
      </c>
      <c r="FM32" s="81">
        <v>0</v>
      </c>
      <c r="FN32" s="81">
        <v>0</v>
      </c>
      <c r="FO32" s="81">
        <v>2</v>
      </c>
      <c r="FP32" s="12">
        <v>0</v>
      </c>
      <c r="FQ32" s="12">
        <v>0</v>
      </c>
      <c r="FR32" s="12">
        <v>0</v>
      </c>
      <c r="FS32" s="12">
        <v>0</v>
      </c>
      <c r="FT32" s="12">
        <v>0</v>
      </c>
      <c r="FU32" s="12">
        <v>0</v>
      </c>
      <c r="FV32" s="12">
        <v>0</v>
      </c>
      <c r="FW32" s="12">
        <v>0</v>
      </c>
      <c r="FX32" s="12">
        <v>3</v>
      </c>
      <c r="FY32" s="12">
        <v>0</v>
      </c>
      <c r="FZ32" s="12">
        <v>0</v>
      </c>
      <c r="GA32" s="12">
        <v>2</v>
      </c>
      <c r="GB32" s="12">
        <v>0</v>
      </c>
      <c r="GC32" s="12">
        <v>0</v>
      </c>
      <c r="GD32" s="12">
        <v>2</v>
      </c>
      <c r="GE32" s="12">
        <v>0</v>
      </c>
      <c r="GF32" s="12">
        <v>0</v>
      </c>
      <c r="GG32" s="12">
        <v>1</v>
      </c>
      <c r="GH32" s="12">
        <v>0</v>
      </c>
      <c r="GI32" s="12">
        <v>0</v>
      </c>
      <c r="GJ32" s="12">
        <v>0</v>
      </c>
      <c r="GK32" s="12">
        <v>0</v>
      </c>
      <c r="GL32" s="12">
        <v>1</v>
      </c>
      <c r="GM32" s="12">
        <v>0</v>
      </c>
      <c r="GN32" s="12">
        <v>5</v>
      </c>
      <c r="GO32" s="12">
        <v>0</v>
      </c>
      <c r="GP32" s="12">
        <v>0</v>
      </c>
      <c r="GQ32" s="12">
        <v>0</v>
      </c>
      <c r="GR32" s="12">
        <v>1</v>
      </c>
      <c r="GS32" s="12">
        <v>0</v>
      </c>
      <c r="GT32" s="12">
        <v>0</v>
      </c>
      <c r="GU32" s="13">
        <v>36</v>
      </c>
      <c r="GV32" s="13">
        <v>15</v>
      </c>
      <c r="GW32" s="13">
        <v>5</v>
      </c>
      <c r="GX32" s="13">
        <v>0</v>
      </c>
      <c r="GY32" s="10">
        <v>0</v>
      </c>
      <c r="GZ32" s="10">
        <v>0</v>
      </c>
      <c r="HA32" s="10">
        <v>5</v>
      </c>
      <c r="HB32" s="10">
        <v>11</v>
      </c>
      <c r="HC32" s="10">
        <v>5</v>
      </c>
      <c r="HD32" s="10">
        <v>0</v>
      </c>
      <c r="HE32" s="10">
        <v>0</v>
      </c>
      <c r="HF32" s="10">
        <v>0</v>
      </c>
      <c r="HG32" s="10">
        <v>0</v>
      </c>
      <c r="HH32" s="10">
        <v>0</v>
      </c>
      <c r="HI32" s="10">
        <v>0</v>
      </c>
      <c r="HJ32" s="10">
        <v>0</v>
      </c>
      <c r="HK32" s="10">
        <v>0</v>
      </c>
      <c r="HL32" s="10">
        <v>0</v>
      </c>
      <c r="HM32" s="10">
        <v>6</v>
      </c>
      <c r="HN32" s="81">
        <v>0</v>
      </c>
      <c r="HO32" s="81">
        <v>0</v>
      </c>
      <c r="HP32" s="81">
        <v>0</v>
      </c>
      <c r="HQ32" s="81">
        <v>0</v>
      </c>
      <c r="HR32" s="81">
        <v>0</v>
      </c>
      <c r="HS32" s="12">
        <v>0</v>
      </c>
      <c r="HT32" s="12">
        <v>0</v>
      </c>
      <c r="HU32" s="12">
        <v>3</v>
      </c>
      <c r="HV32" s="12">
        <v>0</v>
      </c>
      <c r="HW32" s="12">
        <v>0</v>
      </c>
      <c r="HX32" s="12">
        <v>0</v>
      </c>
      <c r="HY32" s="12">
        <v>4</v>
      </c>
      <c r="HZ32" s="12">
        <v>0</v>
      </c>
      <c r="IA32" s="12">
        <v>0</v>
      </c>
      <c r="IB32" s="12">
        <v>5</v>
      </c>
      <c r="IC32" s="12">
        <v>0</v>
      </c>
      <c r="ID32" s="12">
        <v>13</v>
      </c>
      <c r="IE32" s="12">
        <v>3</v>
      </c>
      <c r="IF32" s="12">
        <v>0</v>
      </c>
      <c r="IG32" s="12">
        <v>3</v>
      </c>
      <c r="IH32" s="12">
        <v>0</v>
      </c>
      <c r="II32" s="12">
        <v>1</v>
      </c>
      <c r="IJ32" s="12">
        <v>0</v>
      </c>
      <c r="IK32" s="12">
        <v>1</v>
      </c>
      <c r="IL32" s="12">
        <v>0</v>
      </c>
      <c r="IM32" s="12">
        <v>0</v>
      </c>
      <c r="IN32" s="12">
        <v>0</v>
      </c>
      <c r="IO32" s="12">
        <v>0</v>
      </c>
      <c r="IP32" s="12">
        <v>3</v>
      </c>
      <c r="IQ32" s="12">
        <v>0</v>
      </c>
      <c r="IR32" s="12">
        <v>5</v>
      </c>
      <c r="IS32" s="12">
        <v>0</v>
      </c>
      <c r="IT32" s="12">
        <v>0</v>
      </c>
      <c r="IU32" s="12">
        <v>3</v>
      </c>
      <c r="IV32" s="12">
        <v>5</v>
      </c>
      <c r="IW32" s="12">
        <v>1</v>
      </c>
      <c r="IX32" s="11">
        <v>10400</v>
      </c>
      <c r="IY32" s="11">
        <v>8000</v>
      </c>
      <c r="IZ32" s="11">
        <v>11500</v>
      </c>
      <c r="JA32" s="85">
        <v>1</v>
      </c>
      <c r="JB32" s="85">
        <v>0</v>
      </c>
      <c r="JC32" s="85">
        <v>0</v>
      </c>
      <c r="JD32" s="12">
        <v>13</v>
      </c>
      <c r="JE32" s="12">
        <v>5</v>
      </c>
      <c r="JF32" s="12">
        <v>13</v>
      </c>
      <c r="JG32" s="12">
        <v>3</v>
      </c>
      <c r="JH32" s="12">
        <v>13</v>
      </c>
      <c r="JI32" s="12">
        <v>1</v>
      </c>
      <c r="JJ32" s="13" t="s">
        <v>619</v>
      </c>
      <c r="JK32" s="13" t="s">
        <v>620</v>
      </c>
      <c r="JL32" s="13" t="s">
        <v>296</v>
      </c>
      <c r="JM32" s="89"/>
      <c r="JN32" s="89"/>
      <c r="JO32" s="89" t="s">
        <v>296</v>
      </c>
      <c r="JP32" s="89"/>
      <c r="JQ32" s="89"/>
      <c r="JR32" s="89" t="s">
        <v>296</v>
      </c>
      <c r="JS32" s="89" t="s">
        <v>619</v>
      </c>
      <c r="JT32" s="89" t="s">
        <v>620</v>
      </c>
      <c r="JU32" s="89" t="s">
        <v>296</v>
      </c>
      <c r="JV32" s="89"/>
      <c r="JW32" s="89"/>
      <c r="JX32" s="89" t="s">
        <v>296</v>
      </c>
      <c r="JY32" s="12" t="s">
        <v>34</v>
      </c>
      <c r="JZ32" s="12" t="s">
        <v>34</v>
      </c>
      <c r="KA32" s="12" t="s">
        <v>34</v>
      </c>
      <c r="KB32" s="12" t="s">
        <v>34</v>
      </c>
      <c r="KC32" s="12" t="s">
        <v>619</v>
      </c>
      <c r="KD32" s="12" t="s">
        <v>34</v>
      </c>
      <c r="KE32" s="12" t="s">
        <v>34</v>
      </c>
      <c r="KF32" s="12"/>
      <c r="KG32" s="12" t="s">
        <v>34</v>
      </c>
      <c r="KH32" s="12" t="s">
        <v>34</v>
      </c>
      <c r="KI32" s="12" t="s">
        <v>619</v>
      </c>
      <c r="KJ32" s="12" t="s">
        <v>34</v>
      </c>
      <c r="KK32" s="12" t="s">
        <v>34</v>
      </c>
      <c r="KL32" s="12" t="s">
        <v>34</v>
      </c>
      <c r="KM32" s="12" t="s">
        <v>34</v>
      </c>
      <c r="KN32" s="12" t="s">
        <v>34</v>
      </c>
      <c r="KO32" s="12" t="s">
        <v>34</v>
      </c>
      <c r="KP32" s="12" t="s">
        <v>34</v>
      </c>
      <c r="KQ32" s="12" t="s">
        <v>34</v>
      </c>
      <c r="KR32" s="12" t="s">
        <v>34</v>
      </c>
      <c r="KS32" s="12" t="s">
        <v>34</v>
      </c>
      <c r="KT32" s="12" t="s">
        <v>34</v>
      </c>
      <c r="KU32" s="12" t="s">
        <v>34</v>
      </c>
      <c r="KV32" s="12" t="s">
        <v>34</v>
      </c>
      <c r="KW32" s="12" t="s">
        <v>34</v>
      </c>
      <c r="KX32" s="12" t="s">
        <v>34</v>
      </c>
      <c r="KY32" s="12" t="s">
        <v>619</v>
      </c>
      <c r="KZ32" s="12" t="s">
        <v>34</v>
      </c>
      <c r="LA32" s="12" t="s">
        <v>619</v>
      </c>
      <c r="LB32" s="12" t="s">
        <v>34</v>
      </c>
      <c r="LC32" s="12" t="s">
        <v>619</v>
      </c>
      <c r="LD32" s="12" t="s">
        <v>34</v>
      </c>
      <c r="LE32" s="12" t="s">
        <v>619</v>
      </c>
      <c r="LF32" s="12" t="s">
        <v>34</v>
      </c>
      <c r="LG32" s="12" t="s">
        <v>34</v>
      </c>
      <c r="LH32" s="12" t="s">
        <v>34</v>
      </c>
      <c r="LI32" s="12" t="s">
        <v>34</v>
      </c>
      <c r="LJ32" s="12" t="s">
        <v>34</v>
      </c>
      <c r="LK32" s="12" t="s">
        <v>619</v>
      </c>
      <c r="LL32" s="13" t="s">
        <v>34</v>
      </c>
      <c r="LM32" s="13" t="s">
        <v>34</v>
      </c>
      <c r="LN32" s="13" t="s">
        <v>34</v>
      </c>
      <c r="LO32" s="13" t="s">
        <v>34</v>
      </c>
      <c r="LP32" s="90" t="s">
        <v>34</v>
      </c>
      <c r="LQ32" s="13" t="s">
        <v>34</v>
      </c>
      <c r="LR32" s="13" t="s">
        <v>34</v>
      </c>
      <c r="LS32" s="13"/>
      <c r="LT32" s="13" t="s">
        <v>34</v>
      </c>
      <c r="LU32" s="13" t="s">
        <v>34</v>
      </c>
      <c r="LV32" s="13" t="s">
        <v>34</v>
      </c>
      <c r="LW32" s="13" t="s">
        <v>34</v>
      </c>
      <c r="LX32" s="13" t="s">
        <v>34</v>
      </c>
      <c r="LY32" s="13" t="s">
        <v>34</v>
      </c>
      <c r="LZ32" s="13" t="s">
        <v>619</v>
      </c>
      <c r="MA32" s="13" t="s">
        <v>619</v>
      </c>
      <c r="MB32" s="13" t="s">
        <v>34</v>
      </c>
      <c r="MC32" s="13" t="s">
        <v>34</v>
      </c>
      <c r="MD32" s="13" t="s">
        <v>619</v>
      </c>
      <c r="ME32" s="13" t="s">
        <v>619</v>
      </c>
      <c r="MF32" s="13" t="s">
        <v>34</v>
      </c>
      <c r="MG32" s="13" t="s">
        <v>34</v>
      </c>
      <c r="MH32" s="13" t="s">
        <v>34</v>
      </c>
      <c r="MI32" s="13" t="s">
        <v>34</v>
      </c>
      <c r="MJ32" s="13" t="s">
        <v>34</v>
      </c>
      <c r="MK32" s="13" t="s">
        <v>34</v>
      </c>
      <c r="ML32" s="13" t="s">
        <v>34</v>
      </c>
      <c r="MM32" s="13" t="s">
        <v>34</v>
      </c>
      <c r="MN32" s="13" t="s">
        <v>34</v>
      </c>
      <c r="MO32" s="13" t="s">
        <v>619</v>
      </c>
      <c r="MP32" s="13" t="s">
        <v>34</v>
      </c>
      <c r="MQ32" s="13" t="s">
        <v>34</v>
      </c>
      <c r="MR32" s="13" t="s">
        <v>34</v>
      </c>
      <c r="MS32" s="13" t="s">
        <v>34</v>
      </c>
      <c r="MT32" s="13" t="s">
        <v>619</v>
      </c>
      <c r="MU32" s="13" t="s">
        <v>34</v>
      </c>
      <c r="MV32" s="13" t="s">
        <v>34</v>
      </c>
      <c r="MW32" s="13" t="s">
        <v>34</v>
      </c>
      <c r="MX32" s="13" t="s">
        <v>34</v>
      </c>
      <c r="MY32" s="28" t="s">
        <v>296</v>
      </c>
      <c r="MZ32" s="28" t="s">
        <v>296</v>
      </c>
      <c r="NA32" s="28" t="s">
        <v>296</v>
      </c>
      <c r="NB32" s="28" t="s">
        <v>296</v>
      </c>
      <c r="NC32" s="28" t="s">
        <v>296</v>
      </c>
      <c r="ND32" s="28" t="s">
        <v>297</v>
      </c>
      <c r="NE32" s="28" t="s">
        <v>297</v>
      </c>
      <c r="NF32" s="28" t="s">
        <v>297</v>
      </c>
      <c r="NG32" s="28" t="s">
        <v>297</v>
      </c>
      <c r="NH32" s="28" t="s">
        <v>297</v>
      </c>
      <c r="NI32" s="177" t="s">
        <v>296</v>
      </c>
      <c r="NJ32" s="177" t="s">
        <v>296</v>
      </c>
      <c r="NK32" s="177" t="s">
        <v>296</v>
      </c>
      <c r="NL32" s="177" t="s">
        <v>296</v>
      </c>
      <c r="NM32" s="177" t="s">
        <v>296</v>
      </c>
      <c r="NN32" s="177" t="s">
        <v>296</v>
      </c>
      <c r="NO32" s="177" t="s">
        <v>296</v>
      </c>
      <c r="NP32" s="177" t="s">
        <v>297</v>
      </c>
      <c r="NQ32" s="177" t="s">
        <v>296</v>
      </c>
      <c r="NR32" s="12" t="s">
        <v>34</v>
      </c>
      <c r="NS32" s="13" t="s">
        <v>34</v>
      </c>
    </row>
    <row r="33" spans="1:383" x14ac:dyDescent="0.25">
      <c r="A33" s="8" t="s">
        <v>105</v>
      </c>
      <c r="B33" s="9" t="s">
        <v>106</v>
      </c>
      <c r="C33" s="9">
        <v>76</v>
      </c>
      <c r="D33" s="9" t="s">
        <v>54</v>
      </c>
      <c r="E33" s="10">
        <v>45</v>
      </c>
      <c r="F33" s="10">
        <v>40</v>
      </c>
      <c r="G33" s="10">
        <v>43</v>
      </c>
      <c r="H33" s="10">
        <v>39</v>
      </c>
      <c r="I33" s="10">
        <v>38</v>
      </c>
      <c r="J33" s="11">
        <v>306</v>
      </c>
      <c r="K33" s="11">
        <v>258</v>
      </c>
      <c r="L33" s="11">
        <v>235</v>
      </c>
      <c r="M33" s="11">
        <v>204</v>
      </c>
      <c r="N33" s="11">
        <v>150</v>
      </c>
      <c r="O33" s="13">
        <v>1934</v>
      </c>
      <c r="P33" s="13">
        <v>2476</v>
      </c>
      <c r="Q33" s="13">
        <v>2757</v>
      </c>
      <c r="R33" s="13">
        <v>2398</v>
      </c>
      <c r="S33" s="13">
        <v>2498</v>
      </c>
      <c r="T33" s="12">
        <v>567</v>
      </c>
      <c r="U33" s="12">
        <v>513</v>
      </c>
      <c r="V33" s="12">
        <v>444</v>
      </c>
      <c r="W33" s="12">
        <v>548</v>
      </c>
      <c r="X33" s="12">
        <v>467</v>
      </c>
      <c r="Y33" s="12">
        <v>6</v>
      </c>
      <c r="Z33" s="12">
        <v>6</v>
      </c>
      <c r="AA33" s="12">
        <v>6</v>
      </c>
      <c r="AB33" s="13">
        <v>6</v>
      </c>
      <c r="AC33" s="13">
        <v>6</v>
      </c>
      <c r="AD33" s="13">
        <v>6</v>
      </c>
      <c r="AE33" s="35" t="s">
        <v>259</v>
      </c>
      <c r="AF33" s="35" t="s">
        <v>259</v>
      </c>
      <c r="AG33" s="35" t="s">
        <v>259</v>
      </c>
      <c r="AH33" s="38">
        <v>1</v>
      </c>
      <c r="AI33" s="38">
        <v>1</v>
      </c>
      <c r="AJ33" s="38">
        <v>1</v>
      </c>
      <c r="AK33" s="45" t="s">
        <v>34</v>
      </c>
      <c r="AL33" s="45" t="s">
        <v>34</v>
      </c>
      <c r="AM33" s="45" t="s">
        <v>34</v>
      </c>
      <c r="AN33" s="45" t="s">
        <v>34</v>
      </c>
      <c r="AO33" s="45" t="s">
        <v>34</v>
      </c>
      <c r="AP33" s="45" t="s">
        <v>34</v>
      </c>
      <c r="AQ33" s="53" t="s">
        <v>297</v>
      </c>
      <c r="AR33" s="56">
        <v>107</v>
      </c>
      <c r="AS33" s="57">
        <v>43</v>
      </c>
      <c r="AT33" s="56">
        <v>0</v>
      </c>
      <c r="AU33" s="57">
        <v>7584</v>
      </c>
      <c r="AV33" s="57">
        <v>3311</v>
      </c>
      <c r="AW33" s="57">
        <v>0</v>
      </c>
      <c r="AX33" s="57">
        <v>17</v>
      </c>
      <c r="AY33" s="57">
        <v>7</v>
      </c>
      <c r="AZ33" s="57">
        <v>0</v>
      </c>
      <c r="BA33" s="57">
        <v>1202</v>
      </c>
      <c r="BB33" s="57">
        <v>2703</v>
      </c>
      <c r="BC33" s="57">
        <v>3311</v>
      </c>
      <c r="BD33" s="57">
        <v>145</v>
      </c>
      <c r="BE33" s="57">
        <v>70</v>
      </c>
      <c r="BF33" s="57">
        <v>0</v>
      </c>
      <c r="BG33" s="57">
        <v>0</v>
      </c>
      <c r="BH33" s="57">
        <v>0</v>
      </c>
      <c r="BI33" s="57">
        <v>0</v>
      </c>
      <c r="BJ33" s="57" t="s">
        <v>296</v>
      </c>
      <c r="BK33" s="57">
        <v>22</v>
      </c>
      <c r="BL33" s="57">
        <v>0</v>
      </c>
      <c r="BM33" s="57">
        <v>0</v>
      </c>
      <c r="BN33" s="57">
        <v>3804</v>
      </c>
      <c r="BO33" s="57">
        <v>1114</v>
      </c>
      <c r="BP33" s="57">
        <v>503</v>
      </c>
      <c r="BQ33" s="76">
        <v>812</v>
      </c>
      <c r="BR33" s="76">
        <v>815</v>
      </c>
      <c r="BS33">
        <v>816</v>
      </c>
      <c r="BT33">
        <v>816</v>
      </c>
      <c r="BU33">
        <v>817</v>
      </c>
      <c r="BV33">
        <v>13696</v>
      </c>
      <c r="BW33">
        <v>120477</v>
      </c>
      <c r="BX33">
        <v>121922</v>
      </c>
      <c r="BY33">
        <v>122583</v>
      </c>
      <c r="BZ33">
        <v>122090</v>
      </c>
      <c r="CA33">
        <v>43</v>
      </c>
      <c r="CB33">
        <v>37</v>
      </c>
      <c r="CC33">
        <v>40</v>
      </c>
      <c r="CD33">
        <v>35</v>
      </c>
      <c r="CE33">
        <v>38</v>
      </c>
      <c r="CF33">
        <v>2501</v>
      </c>
      <c r="CG33">
        <v>2989</v>
      </c>
      <c r="CH33">
        <v>3201</v>
      </c>
      <c r="CI33">
        <v>2946</v>
      </c>
      <c r="CJ33">
        <v>2965</v>
      </c>
      <c r="CK33" s="10">
        <v>28</v>
      </c>
      <c r="CL33" s="10">
        <v>28</v>
      </c>
      <c r="CM33" s="10">
        <v>28</v>
      </c>
      <c r="CN33" s="11">
        <v>15</v>
      </c>
      <c r="CO33" s="11">
        <v>15</v>
      </c>
      <c r="CP33" s="11">
        <v>15</v>
      </c>
      <c r="CQ33" s="13">
        <v>10</v>
      </c>
      <c r="CR33" s="13">
        <v>7</v>
      </c>
      <c r="CS33" s="13">
        <v>2</v>
      </c>
      <c r="CT33" s="10">
        <v>0</v>
      </c>
      <c r="CU33" s="10">
        <v>1</v>
      </c>
      <c r="CV33" s="10">
        <v>14</v>
      </c>
      <c r="CW33" s="10">
        <v>12</v>
      </c>
      <c r="CX33" s="10">
        <v>2</v>
      </c>
      <c r="CY33" s="10">
        <v>0</v>
      </c>
      <c r="CZ33" s="10">
        <v>0</v>
      </c>
      <c r="DA33" s="10">
        <v>0</v>
      </c>
      <c r="DB33" s="10">
        <v>0</v>
      </c>
      <c r="DC33" s="10">
        <v>0</v>
      </c>
      <c r="DD33" s="10">
        <v>0</v>
      </c>
      <c r="DE33" s="10">
        <v>0</v>
      </c>
      <c r="DF33" s="10">
        <v>0</v>
      </c>
      <c r="DG33" s="10">
        <v>1</v>
      </c>
      <c r="DH33" s="10">
        <v>3</v>
      </c>
      <c r="DI33" s="81">
        <v>0</v>
      </c>
      <c r="DJ33" s="81">
        <v>0</v>
      </c>
      <c r="DK33" s="81">
        <v>5</v>
      </c>
      <c r="DL33" s="81">
        <v>0</v>
      </c>
      <c r="DM33" s="81">
        <v>1</v>
      </c>
      <c r="DN33" s="12">
        <v>2</v>
      </c>
      <c r="DO33" s="12">
        <v>1</v>
      </c>
      <c r="DP33" s="12">
        <v>3</v>
      </c>
      <c r="DQ33" s="12">
        <v>6</v>
      </c>
      <c r="DR33" s="12">
        <v>0</v>
      </c>
      <c r="DS33" s="12">
        <v>0</v>
      </c>
      <c r="DT33" s="12">
        <v>1</v>
      </c>
      <c r="DU33" s="12">
        <v>0</v>
      </c>
      <c r="DV33" s="12">
        <v>5</v>
      </c>
      <c r="DW33" s="12">
        <v>1</v>
      </c>
      <c r="DX33" s="12">
        <v>4</v>
      </c>
      <c r="DY33" s="12">
        <v>7</v>
      </c>
      <c r="DZ33" s="12">
        <v>2</v>
      </c>
      <c r="EA33" s="12">
        <v>0</v>
      </c>
      <c r="EB33" s="12">
        <v>6</v>
      </c>
      <c r="EC33" s="12">
        <v>0</v>
      </c>
      <c r="ED33" s="12">
        <v>11</v>
      </c>
      <c r="EE33" s="12">
        <v>1</v>
      </c>
      <c r="EF33" s="12">
        <v>2</v>
      </c>
      <c r="EG33" s="12">
        <v>0</v>
      </c>
      <c r="EH33" s="12">
        <v>0</v>
      </c>
      <c r="EI33" s="12">
        <v>1</v>
      </c>
      <c r="EJ33" s="12">
        <v>0</v>
      </c>
      <c r="EK33" s="12">
        <v>0</v>
      </c>
      <c r="EL33" s="12">
        <v>6</v>
      </c>
      <c r="EM33" s="12">
        <v>3</v>
      </c>
      <c r="EN33" s="12">
        <v>4</v>
      </c>
      <c r="EO33" s="12">
        <v>0</v>
      </c>
      <c r="EP33" s="12">
        <v>3</v>
      </c>
      <c r="EQ33" s="12">
        <v>0</v>
      </c>
      <c r="ER33" s="12">
        <v>0</v>
      </c>
      <c r="ES33" s="13">
        <v>2</v>
      </c>
      <c r="ET33" s="13">
        <v>5</v>
      </c>
      <c r="EU33" s="13">
        <v>0</v>
      </c>
      <c r="EV33" s="10">
        <v>0</v>
      </c>
      <c r="EW33" s="10">
        <v>0</v>
      </c>
      <c r="EX33" s="10">
        <v>0</v>
      </c>
      <c r="EY33" s="10">
        <v>6</v>
      </c>
      <c r="EZ33" s="10">
        <v>0</v>
      </c>
      <c r="FA33" s="10">
        <v>0</v>
      </c>
      <c r="FB33" s="10">
        <v>0</v>
      </c>
      <c r="FC33" s="10">
        <v>0</v>
      </c>
      <c r="FD33" s="10">
        <v>0</v>
      </c>
      <c r="FE33" s="10">
        <v>0</v>
      </c>
      <c r="FF33" s="10">
        <v>0</v>
      </c>
      <c r="FG33" s="10">
        <v>0</v>
      </c>
      <c r="FH33" s="10">
        <v>0</v>
      </c>
      <c r="FI33" s="10">
        <v>0</v>
      </c>
      <c r="FJ33" s="10">
        <v>0</v>
      </c>
      <c r="FK33" s="81">
        <v>0</v>
      </c>
      <c r="FL33" s="81">
        <v>0</v>
      </c>
      <c r="FM33" s="81">
        <v>0</v>
      </c>
      <c r="FN33" s="81">
        <v>0</v>
      </c>
      <c r="FO33" s="81">
        <v>0</v>
      </c>
      <c r="FP33" s="12">
        <v>2</v>
      </c>
      <c r="FQ33" s="12">
        <v>0</v>
      </c>
      <c r="FR33" s="12">
        <v>0</v>
      </c>
      <c r="FS33" s="12">
        <v>3</v>
      </c>
      <c r="FT33" s="12">
        <v>0</v>
      </c>
      <c r="FU33" s="12">
        <v>0</v>
      </c>
      <c r="FV33" s="12">
        <v>0</v>
      </c>
      <c r="FW33" s="12">
        <v>0</v>
      </c>
      <c r="FX33" s="12">
        <v>3</v>
      </c>
      <c r="FY33" s="12">
        <v>3</v>
      </c>
      <c r="FZ33" s="12">
        <v>0</v>
      </c>
      <c r="GA33" s="12">
        <v>4</v>
      </c>
      <c r="GB33" s="12">
        <v>0</v>
      </c>
      <c r="GC33" s="12">
        <v>0</v>
      </c>
      <c r="GD33" s="12">
        <v>3</v>
      </c>
      <c r="GE33" s="12">
        <v>0</v>
      </c>
      <c r="GF33" s="12">
        <v>3</v>
      </c>
      <c r="GG33" s="12">
        <v>0</v>
      </c>
      <c r="GH33" s="12">
        <v>1</v>
      </c>
      <c r="GI33" s="12">
        <v>0</v>
      </c>
      <c r="GJ33" s="12">
        <v>0</v>
      </c>
      <c r="GK33" s="12">
        <v>0</v>
      </c>
      <c r="GL33" s="12">
        <v>0</v>
      </c>
      <c r="GM33" s="12">
        <v>0</v>
      </c>
      <c r="GN33" s="12">
        <v>2</v>
      </c>
      <c r="GO33" s="12">
        <v>1</v>
      </c>
      <c r="GP33" s="12">
        <v>0</v>
      </c>
      <c r="GQ33" s="12">
        <v>0</v>
      </c>
      <c r="GR33" s="12">
        <v>0</v>
      </c>
      <c r="GS33" s="12">
        <v>0</v>
      </c>
      <c r="GT33" s="12">
        <v>0</v>
      </c>
      <c r="GU33" s="13">
        <v>43</v>
      </c>
      <c r="GV33" s="13">
        <v>0</v>
      </c>
      <c r="GW33" s="13">
        <v>0</v>
      </c>
      <c r="GX33" s="13">
        <v>0</v>
      </c>
      <c r="GY33" s="10">
        <v>0</v>
      </c>
      <c r="GZ33" s="10">
        <v>0</v>
      </c>
      <c r="HA33" s="10">
        <v>0</v>
      </c>
      <c r="HB33" s="10">
        <v>0</v>
      </c>
      <c r="HC33" s="10">
        <v>0</v>
      </c>
      <c r="HD33" s="10">
        <v>0</v>
      </c>
      <c r="HE33" s="10">
        <v>0</v>
      </c>
      <c r="HF33" s="10">
        <v>0</v>
      </c>
      <c r="HG33" s="10">
        <v>0</v>
      </c>
      <c r="HH33" s="10">
        <v>0</v>
      </c>
      <c r="HI33" s="10">
        <v>0</v>
      </c>
      <c r="HJ33" s="10">
        <v>0</v>
      </c>
      <c r="HK33" s="10">
        <v>0</v>
      </c>
      <c r="HL33" s="10">
        <v>0</v>
      </c>
      <c r="HM33" s="10">
        <v>0</v>
      </c>
      <c r="HN33" s="81">
        <v>0</v>
      </c>
      <c r="HO33" s="81">
        <v>0</v>
      </c>
      <c r="HP33" s="81">
        <v>0</v>
      </c>
      <c r="HQ33" s="81">
        <v>0</v>
      </c>
      <c r="HR33" s="81">
        <v>0</v>
      </c>
      <c r="HS33" s="12">
        <v>0</v>
      </c>
      <c r="HT33" s="12">
        <v>0</v>
      </c>
      <c r="HU33" s="12">
        <v>0</v>
      </c>
      <c r="HV33" s="12">
        <v>0</v>
      </c>
      <c r="HW33" s="12">
        <v>0</v>
      </c>
      <c r="HX33" s="12">
        <v>0</v>
      </c>
      <c r="HY33" s="12">
        <v>0</v>
      </c>
      <c r="HZ33" s="12">
        <v>0</v>
      </c>
      <c r="IA33" s="12">
        <v>0</v>
      </c>
      <c r="IB33" s="12">
        <v>0</v>
      </c>
      <c r="IC33" s="12">
        <v>0</v>
      </c>
      <c r="ID33" s="12">
        <v>0</v>
      </c>
      <c r="IE33" s="12">
        <v>0</v>
      </c>
      <c r="IF33" s="12">
        <v>0</v>
      </c>
      <c r="IG33" s="12">
        <v>0</v>
      </c>
      <c r="IH33" s="12">
        <v>0</v>
      </c>
      <c r="II33" s="12">
        <v>0</v>
      </c>
      <c r="IJ33" s="12">
        <v>0</v>
      </c>
      <c r="IK33" s="12">
        <v>0</v>
      </c>
      <c r="IL33" s="12">
        <v>0</v>
      </c>
      <c r="IM33" s="12">
        <v>0</v>
      </c>
      <c r="IN33" s="12">
        <v>0</v>
      </c>
      <c r="IO33" s="12">
        <v>0</v>
      </c>
      <c r="IP33" s="12">
        <v>0</v>
      </c>
      <c r="IQ33" s="12">
        <v>0</v>
      </c>
      <c r="IR33" s="12">
        <v>0</v>
      </c>
      <c r="IS33" s="12">
        <v>0</v>
      </c>
      <c r="IT33" s="12">
        <v>0</v>
      </c>
      <c r="IU33" s="12">
        <v>0</v>
      </c>
      <c r="IV33" s="12">
        <v>0</v>
      </c>
      <c r="IW33" s="12">
        <v>0</v>
      </c>
      <c r="IX33" s="11">
        <v>0</v>
      </c>
      <c r="IY33" s="11">
        <v>1500</v>
      </c>
      <c r="IZ33" s="11">
        <v>1500</v>
      </c>
      <c r="JA33" s="85" t="s">
        <v>604</v>
      </c>
      <c r="JB33" s="85">
        <v>0</v>
      </c>
      <c r="JC33" s="85">
        <v>0</v>
      </c>
      <c r="JD33" s="12">
        <v>26</v>
      </c>
      <c r="JE33" s="12">
        <v>5</v>
      </c>
      <c r="JF33" s="12">
        <v>26</v>
      </c>
      <c r="JG33" s="12">
        <v>3</v>
      </c>
      <c r="JH33" s="12">
        <v>26</v>
      </c>
      <c r="JI33" s="12">
        <v>3</v>
      </c>
      <c r="JJ33" s="13" t="s">
        <v>620</v>
      </c>
      <c r="JK33" s="13" t="s">
        <v>619</v>
      </c>
      <c r="JL33" s="13" t="s">
        <v>297</v>
      </c>
      <c r="JM33" s="89"/>
      <c r="JN33" s="89"/>
      <c r="JO33" s="89" t="s">
        <v>296</v>
      </c>
      <c r="JP33" s="89"/>
      <c r="JQ33" s="89"/>
      <c r="JR33" s="89" t="s">
        <v>296</v>
      </c>
      <c r="JS33" s="89" t="s">
        <v>619</v>
      </c>
      <c r="JT33" s="89" t="s">
        <v>619</v>
      </c>
      <c r="JU33" s="89" t="s">
        <v>296</v>
      </c>
      <c r="JV33" s="89"/>
      <c r="JW33" s="89"/>
      <c r="JX33" s="89" t="s">
        <v>296</v>
      </c>
      <c r="JY33" s="12" t="s">
        <v>619</v>
      </c>
      <c r="JZ33" s="12" t="s">
        <v>34</v>
      </c>
      <c r="KA33" s="12" t="s">
        <v>34</v>
      </c>
      <c r="KB33" s="12" t="s">
        <v>34</v>
      </c>
      <c r="KC33" s="12" t="s">
        <v>619</v>
      </c>
      <c r="KD33" s="12" t="s">
        <v>619</v>
      </c>
      <c r="KE33" s="12" t="s">
        <v>34</v>
      </c>
      <c r="KF33" s="12"/>
      <c r="KG33" s="12" t="s">
        <v>34</v>
      </c>
      <c r="KH33" s="12" t="s">
        <v>34</v>
      </c>
      <c r="KI33" s="12" t="s">
        <v>34</v>
      </c>
      <c r="KJ33" s="12" t="s">
        <v>34</v>
      </c>
      <c r="KK33" s="12" t="s">
        <v>34</v>
      </c>
      <c r="KL33" s="12" t="s">
        <v>34</v>
      </c>
      <c r="KM33" s="12" t="s">
        <v>619</v>
      </c>
      <c r="KN33" s="12" t="s">
        <v>619</v>
      </c>
      <c r="KO33" s="12" t="s">
        <v>619</v>
      </c>
      <c r="KP33" s="12" t="s">
        <v>34</v>
      </c>
      <c r="KQ33" s="12" t="s">
        <v>619</v>
      </c>
      <c r="KR33" s="12" t="s">
        <v>619</v>
      </c>
      <c r="KS33" s="12" t="s">
        <v>619</v>
      </c>
      <c r="KT33" s="12" t="s">
        <v>34</v>
      </c>
      <c r="KU33" s="12" t="s">
        <v>34</v>
      </c>
      <c r="KV33" s="12" t="s">
        <v>34</v>
      </c>
      <c r="KW33" s="12" t="s">
        <v>34</v>
      </c>
      <c r="KX33" s="12" t="s">
        <v>619</v>
      </c>
      <c r="KY33" s="12" t="s">
        <v>34</v>
      </c>
      <c r="KZ33" s="12" t="s">
        <v>34</v>
      </c>
      <c r="LA33" s="12" t="s">
        <v>34</v>
      </c>
      <c r="LB33" s="12" t="s">
        <v>619</v>
      </c>
      <c r="LC33" s="12" t="s">
        <v>619</v>
      </c>
      <c r="LD33" s="12" t="s">
        <v>619</v>
      </c>
      <c r="LE33" s="12" t="s">
        <v>34</v>
      </c>
      <c r="LF33" s="12" t="s">
        <v>34</v>
      </c>
      <c r="LG33" s="12" t="s">
        <v>34</v>
      </c>
      <c r="LH33" s="12" t="s">
        <v>34</v>
      </c>
      <c r="LI33" s="12" t="s">
        <v>619</v>
      </c>
      <c r="LJ33" s="12" t="s">
        <v>619</v>
      </c>
      <c r="LK33" s="12" t="s">
        <v>34</v>
      </c>
      <c r="LL33" s="13" t="s">
        <v>34</v>
      </c>
      <c r="LM33" s="13" t="s">
        <v>34</v>
      </c>
      <c r="LN33" s="13" t="s">
        <v>619</v>
      </c>
      <c r="LO33" s="13" t="s">
        <v>34</v>
      </c>
      <c r="LP33" s="90" t="s">
        <v>619</v>
      </c>
      <c r="LQ33" s="13" t="s">
        <v>619</v>
      </c>
      <c r="LR33" s="13" t="s">
        <v>34</v>
      </c>
      <c r="LS33" s="13"/>
      <c r="LT33" s="13" t="s">
        <v>34</v>
      </c>
      <c r="LU33" s="13" t="s">
        <v>34</v>
      </c>
      <c r="LV33" s="13" t="s">
        <v>34</v>
      </c>
      <c r="LW33" s="13" t="s">
        <v>34</v>
      </c>
      <c r="LX33" s="13" t="s">
        <v>34</v>
      </c>
      <c r="LY33" s="13" t="s">
        <v>34</v>
      </c>
      <c r="LZ33" s="13" t="s">
        <v>34</v>
      </c>
      <c r="MA33" s="13" t="s">
        <v>619</v>
      </c>
      <c r="MB33" s="13" t="s">
        <v>619</v>
      </c>
      <c r="MC33" s="13" t="s">
        <v>34</v>
      </c>
      <c r="MD33" s="13" t="s">
        <v>619</v>
      </c>
      <c r="ME33" s="13" t="s">
        <v>34</v>
      </c>
      <c r="MF33" s="13" t="s">
        <v>619</v>
      </c>
      <c r="MG33" s="13" t="s">
        <v>34</v>
      </c>
      <c r="MH33" s="13" t="s">
        <v>34</v>
      </c>
      <c r="MI33" s="13" t="s">
        <v>34</v>
      </c>
      <c r="MJ33" s="13" t="s">
        <v>34</v>
      </c>
      <c r="MK33" s="13" t="s">
        <v>619</v>
      </c>
      <c r="ML33" s="13" t="s">
        <v>34</v>
      </c>
      <c r="MM33" s="13" t="s">
        <v>34</v>
      </c>
      <c r="MN33" s="13" t="s">
        <v>34</v>
      </c>
      <c r="MO33" s="13" t="s">
        <v>619</v>
      </c>
      <c r="MP33" s="13" t="s">
        <v>34</v>
      </c>
      <c r="MQ33" s="13" t="s">
        <v>619</v>
      </c>
      <c r="MR33" s="13" t="s">
        <v>34</v>
      </c>
      <c r="MS33" s="13" t="s">
        <v>34</v>
      </c>
      <c r="MT33" s="13" t="s">
        <v>34</v>
      </c>
      <c r="MU33" s="13" t="s">
        <v>34</v>
      </c>
      <c r="MV33" s="13" t="s">
        <v>34</v>
      </c>
      <c r="MW33" s="13" t="s">
        <v>619</v>
      </c>
      <c r="MX33" s="13" t="s">
        <v>34</v>
      </c>
      <c r="MY33" s="28" t="s">
        <v>296</v>
      </c>
      <c r="MZ33" s="28" t="s">
        <v>296</v>
      </c>
      <c r="NA33" s="28" t="s">
        <v>296</v>
      </c>
      <c r="NB33" s="28" t="s">
        <v>296</v>
      </c>
      <c r="NC33" s="28" t="s">
        <v>297</v>
      </c>
      <c r="ND33" s="28" t="s">
        <v>296</v>
      </c>
      <c r="NE33" s="28" t="s">
        <v>296</v>
      </c>
      <c r="NF33" s="28" t="s">
        <v>296</v>
      </c>
      <c r="NG33" s="28" t="s">
        <v>296</v>
      </c>
      <c r="NH33" s="28" t="s">
        <v>297</v>
      </c>
      <c r="NI33" s="177" t="s">
        <v>296</v>
      </c>
      <c r="NJ33" s="177" t="s">
        <v>297</v>
      </c>
      <c r="NK33" s="177" t="s">
        <v>296</v>
      </c>
      <c r="NL33" s="177" t="s">
        <v>296</v>
      </c>
      <c r="NM33" s="177" t="s">
        <v>296</v>
      </c>
      <c r="NN33" s="177" t="s">
        <v>296</v>
      </c>
      <c r="NO33" s="177" t="s">
        <v>297</v>
      </c>
      <c r="NP33" s="177" t="s">
        <v>296</v>
      </c>
      <c r="NQ33" s="177" t="s">
        <v>296</v>
      </c>
      <c r="NR33" s="12" t="s">
        <v>34</v>
      </c>
      <c r="NS33" s="13" t="s">
        <v>34</v>
      </c>
    </row>
    <row r="34" spans="1:383" x14ac:dyDescent="0.25">
      <c r="A34" s="8" t="s">
        <v>107</v>
      </c>
      <c r="B34" s="9" t="s">
        <v>108</v>
      </c>
      <c r="C34" s="9">
        <v>76</v>
      </c>
      <c r="D34" s="9" t="s">
        <v>54</v>
      </c>
      <c r="E34" s="10">
        <v>25</v>
      </c>
      <c r="F34" s="10">
        <v>27</v>
      </c>
      <c r="G34" s="10">
        <v>17</v>
      </c>
      <c r="H34" s="10">
        <v>22</v>
      </c>
      <c r="I34" s="10">
        <v>25</v>
      </c>
      <c r="J34" s="11">
        <v>87</v>
      </c>
      <c r="K34" s="11">
        <v>80</v>
      </c>
      <c r="L34" s="11">
        <v>51</v>
      </c>
      <c r="M34" s="11">
        <v>61</v>
      </c>
      <c r="N34" s="11">
        <v>68</v>
      </c>
      <c r="O34" s="13">
        <v>1748</v>
      </c>
      <c r="P34" s="13">
        <v>1371</v>
      </c>
      <c r="Q34" s="13">
        <v>1056</v>
      </c>
      <c r="R34" s="13">
        <v>1023</v>
      </c>
      <c r="S34" s="13">
        <v>653</v>
      </c>
      <c r="T34" s="12">
        <v>557</v>
      </c>
      <c r="U34" s="12">
        <v>366</v>
      </c>
      <c r="V34" s="12">
        <v>386</v>
      </c>
      <c r="W34" s="12">
        <v>370</v>
      </c>
      <c r="X34" s="12">
        <v>267</v>
      </c>
      <c r="Y34" s="12">
        <v>5.98</v>
      </c>
      <c r="Z34" s="12">
        <v>5.95</v>
      </c>
      <c r="AA34" s="12">
        <v>5.2</v>
      </c>
      <c r="AB34" s="13">
        <v>5.98</v>
      </c>
      <c r="AC34" s="13">
        <v>5.95</v>
      </c>
      <c r="AD34" s="13">
        <v>5.2</v>
      </c>
      <c r="AE34" s="35" t="s">
        <v>259</v>
      </c>
      <c r="AF34" s="35" t="s">
        <v>259</v>
      </c>
      <c r="AG34" s="35" t="s">
        <v>259</v>
      </c>
      <c r="AH34" s="38">
        <v>0.5</v>
      </c>
      <c r="AI34" s="38">
        <v>0.5</v>
      </c>
      <c r="AJ34" s="38">
        <v>0.5</v>
      </c>
      <c r="AK34" s="45" t="s">
        <v>288</v>
      </c>
      <c r="AL34" s="45" t="s">
        <v>289</v>
      </c>
      <c r="AM34" s="45" t="s">
        <v>290</v>
      </c>
      <c r="AN34" s="45" t="s">
        <v>34</v>
      </c>
      <c r="AO34" s="45" t="s">
        <v>34</v>
      </c>
      <c r="AP34" s="45" t="s">
        <v>34</v>
      </c>
      <c r="AQ34" s="53" t="s">
        <v>297</v>
      </c>
      <c r="AR34" s="56">
        <v>66</v>
      </c>
      <c r="AS34" s="57">
        <v>20</v>
      </c>
      <c r="AT34" s="56">
        <v>25</v>
      </c>
      <c r="AU34" s="57">
        <v>3400</v>
      </c>
      <c r="AV34" s="57">
        <v>1284</v>
      </c>
      <c r="AW34" s="57">
        <v>1069</v>
      </c>
      <c r="AX34" s="57">
        <v>1</v>
      </c>
      <c r="AY34" s="57">
        <v>2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7">
        <v>0</v>
      </c>
      <c r="BI34" s="57">
        <v>0</v>
      </c>
      <c r="BJ34" s="57" t="s">
        <v>296</v>
      </c>
      <c r="BK34" s="57">
        <v>19</v>
      </c>
      <c r="BL34" s="57">
        <v>0</v>
      </c>
      <c r="BM34" s="57">
        <v>0</v>
      </c>
      <c r="BN34" s="57">
        <v>250</v>
      </c>
      <c r="BO34" s="57">
        <v>350</v>
      </c>
      <c r="BP34" s="57">
        <v>800</v>
      </c>
      <c r="BQ34" s="76">
        <v>211</v>
      </c>
      <c r="BR34" s="76">
        <v>200</v>
      </c>
      <c r="BS34">
        <v>193</v>
      </c>
      <c r="BT34">
        <v>193</v>
      </c>
      <c r="BU34">
        <v>189</v>
      </c>
      <c r="BV34">
        <v>118574</v>
      </c>
      <c r="BW34">
        <v>13566</v>
      </c>
      <c r="BX34">
        <v>13555</v>
      </c>
      <c r="BY34">
        <v>13243</v>
      </c>
      <c r="BZ34">
        <v>12857</v>
      </c>
      <c r="CA34">
        <v>75</v>
      </c>
      <c r="CB34">
        <v>62</v>
      </c>
      <c r="CC34">
        <v>46</v>
      </c>
      <c r="CD34">
        <v>54</v>
      </c>
      <c r="CE34">
        <v>37</v>
      </c>
      <c r="CF34">
        <v>2305</v>
      </c>
      <c r="CG34">
        <v>1737</v>
      </c>
      <c r="CH34">
        <v>1442</v>
      </c>
      <c r="CI34">
        <v>1393</v>
      </c>
      <c r="CJ34">
        <v>920</v>
      </c>
      <c r="CK34" s="10">
        <v>16</v>
      </c>
      <c r="CL34" s="10">
        <v>16.100000000000001</v>
      </c>
      <c r="CM34" s="10">
        <v>16</v>
      </c>
      <c r="CN34" s="11">
        <v>15.28</v>
      </c>
      <c r="CO34" s="11">
        <v>15.23</v>
      </c>
      <c r="CP34" s="11">
        <v>15.2</v>
      </c>
      <c r="CQ34" s="13">
        <v>15</v>
      </c>
      <c r="CR34" s="13">
        <v>9</v>
      </c>
      <c r="CS34" s="13">
        <v>3</v>
      </c>
      <c r="CT34" s="10">
        <v>0</v>
      </c>
      <c r="CU34" s="10">
        <v>0</v>
      </c>
      <c r="CV34" s="10">
        <v>3</v>
      </c>
      <c r="CW34" s="10">
        <v>1</v>
      </c>
      <c r="CX34" s="10">
        <v>8</v>
      </c>
      <c r="CY34" s="10">
        <v>0</v>
      </c>
      <c r="CZ34" s="10">
        <v>0</v>
      </c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0</v>
      </c>
      <c r="DH34" s="10">
        <v>1</v>
      </c>
      <c r="DI34" s="81">
        <v>1</v>
      </c>
      <c r="DJ34" s="81">
        <v>0</v>
      </c>
      <c r="DK34" s="81">
        <v>2</v>
      </c>
      <c r="DL34" s="81">
        <v>1</v>
      </c>
      <c r="DM34" s="81">
        <v>2</v>
      </c>
      <c r="DN34" s="12">
        <v>0</v>
      </c>
      <c r="DO34" s="12">
        <v>0</v>
      </c>
      <c r="DP34" s="12">
        <v>6</v>
      </c>
      <c r="DQ34" s="12">
        <v>0</v>
      </c>
      <c r="DR34" s="12">
        <v>0</v>
      </c>
      <c r="DS34" s="12">
        <v>0</v>
      </c>
      <c r="DT34" s="12">
        <v>0</v>
      </c>
      <c r="DU34" s="12">
        <v>0</v>
      </c>
      <c r="DV34" s="12">
        <v>0</v>
      </c>
      <c r="DW34" s="12">
        <v>4</v>
      </c>
      <c r="DX34" s="12">
        <v>0</v>
      </c>
      <c r="DY34" s="12">
        <v>3</v>
      </c>
      <c r="DZ34" s="12">
        <v>2</v>
      </c>
      <c r="EA34" s="12">
        <v>1</v>
      </c>
      <c r="EB34" s="12">
        <v>8</v>
      </c>
      <c r="EC34" s="12">
        <v>0</v>
      </c>
      <c r="ED34" s="12">
        <v>1</v>
      </c>
      <c r="EE34" s="12">
        <v>1</v>
      </c>
      <c r="EF34" s="12">
        <v>11</v>
      </c>
      <c r="EG34" s="12">
        <v>0</v>
      </c>
      <c r="EH34" s="12">
        <v>0</v>
      </c>
      <c r="EI34" s="12">
        <v>0</v>
      </c>
      <c r="EJ34" s="12">
        <v>0</v>
      </c>
      <c r="EK34" s="12">
        <v>2</v>
      </c>
      <c r="EL34" s="12">
        <v>9</v>
      </c>
      <c r="EM34" s="12">
        <v>3</v>
      </c>
      <c r="EN34" s="12">
        <v>1</v>
      </c>
      <c r="EO34" s="12">
        <v>0</v>
      </c>
      <c r="EP34" s="12">
        <v>2</v>
      </c>
      <c r="EQ34" s="12">
        <v>3</v>
      </c>
      <c r="ER34" s="12">
        <v>0</v>
      </c>
      <c r="ES34" s="13">
        <v>1</v>
      </c>
      <c r="ET34" s="13">
        <v>6</v>
      </c>
      <c r="EU34" s="13">
        <v>0</v>
      </c>
      <c r="EV34" s="10">
        <v>0</v>
      </c>
      <c r="EW34" s="10">
        <v>0</v>
      </c>
      <c r="EX34" s="10">
        <v>0</v>
      </c>
      <c r="EY34" s="10">
        <v>0</v>
      </c>
      <c r="EZ34" s="10">
        <v>2</v>
      </c>
      <c r="FA34" s="10">
        <v>0</v>
      </c>
      <c r="FB34" s="10">
        <v>0</v>
      </c>
      <c r="FC34" s="10">
        <v>0</v>
      </c>
      <c r="FD34" s="10">
        <v>0</v>
      </c>
      <c r="FE34" s="10">
        <v>0</v>
      </c>
      <c r="FF34" s="10">
        <v>0</v>
      </c>
      <c r="FG34" s="10">
        <v>0</v>
      </c>
      <c r="FH34" s="10">
        <v>0</v>
      </c>
      <c r="FI34" s="10">
        <v>0</v>
      </c>
      <c r="FJ34" s="10">
        <v>0</v>
      </c>
      <c r="FK34" s="81">
        <v>0</v>
      </c>
      <c r="FL34" s="81">
        <v>0</v>
      </c>
      <c r="FM34" s="81">
        <v>0</v>
      </c>
      <c r="FN34" s="81">
        <v>0</v>
      </c>
      <c r="FO34" s="81">
        <v>0</v>
      </c>
      <c r="FP34" s="12">
        <v>0</v>
      </c>
      <c r="FQ34" s="12">
        <v>0</v>
      </c>
      <c r="FR34" s="12">
        <v>2</v>
      </c>
      <c r="FS34" s="12">
        <v>0</v>
      </c>
      <c r="FT34" s="12">
        <v>0</v>
      </c>
      <c r="FU34" s="12">
        <v>0</v>
      </c>
      <c r="FV34" s="12">
        <v>0</v>
      </c>
      <c r="FW34" s="12">
        <v>0</v>
      </c>
      <c r="FX34" s="12">
        <v>1</v>
      </c>
      <c r="FY34" s="12">
        <v>0</v>
      </c>
      <c r="FZ34" s="12">
        <v>1</v>
      </c>
      <c r="GA34" s="12">
        <v>0</v>
      </c>
      <c r="GB34" s="12">
        <v>0</v>
      </c>
      <c r="GC34" s="12">
        <v>0</v>
      </c>
      <c r="GD34" s="12">
        <v>4</v>
      </c>
      <c r="GE34" s="12">
        <v>0</v>
      </c>
      <c r="GF34" s="12">
        <v>1</v>
      </c>
      <c r="GG34" s="12">
        <v>2</v>
      </c>
      <c r="GH34" s="12">
        <v>2</v>
      </c>
      <c r="GI34" s="12">
        <v>0</v>
      </c>
      <c r="GJ34" s="12">
        <v>0</v>
      </c>
      <c r="GK34" s="12">
        <v>0</v>
      </c>
      <c r="GL34" s="12">
        <v>1</v>
      </c>
      <c r="GM34" s="12">
        <v>0</v>
      </c>
      <c r="GN34" s="12">
        <v>4</v>
      </c>
      <c r="GO34" s="12">
        <v>2</v>
      </c>
      <c r="GP34" s="12">
        <v>0</v>
      </c>
      <c r="GQ34" s="12">
        <v>0</v>
      </c>
      <c r="GR34" s="12">
        <v>0</v>
      </c>
      <c r="GS34" s="12">
        <v>0</v>
      </c>
      <c r="GT34" s="12">
        <v>0</v>
      </c>
      <c r="GU34" s="13">
        <v>20</v>
      </c>
      <c r="GV34" s="13">
        <v>1</v>
      </c>
      <c r="GW34" s="13">
        <v>0</v>
      </c>
      <c r="GX34" s="13">
        <v>0</v>
      </c>
      <c r="GY34" s="10">
        <v>0</v>
      </c>
      <c r="GZ34" s="10">
        <v>0</v>
      </c>
      <c r="HA34" s="10">
        <v>0</v>
      </c>
      <c r="HB34" s="10">
        <v>0</v>
      </c>
      <c r="HC34" s="10">
        <v>0</v>
      </c>
      <c r="HD34" s="10">
        <v>0</v>
      </c>
      <c r="HE34" s="10">
        <v>0</v>
      </c>
      <c r="HF34" s="10">
        <v>0</v>
      </c>
      <c r="HG34" s="10">
        <v>0</v>
      </c>
      <c r="HH34" s="10">
        <v>0</v>
      </c>
      <c r="HI34" s="10">
        <v>0</v>
      </c>
      <c r="HJ34" s="10">
        <v>0</v>
      </c>
      <c r="HK34" s="10">
        <v>0</v>
      </c>
      <c r="HL34" s="10">
        <v>0</v>
      </c>
      <c r="HM34" s="10">
        <v>0</v>
      </c>
      <c r="HN34" s="81">
        <v>0</v>
      </c>
      <c r="HO34" s="81">
        <v>0</v>
      </c>
      <c r="HP34" s="81">
        <v>0</v>
      </c>
      <c r="HQ34" s="81">
        <v>0</v>
      </c>
      <c r="HR34" s="81">
        <v>0</v>
      </c>
      <c r="HS34" s="12">
        <v>0</v>
      </c>
      <c r="HT34" s="12">
        <v>0</v>
      </c>
      <c r="HU34" s="12">
        <v>0</v>
      </c>
      <c r="HV34" s="12">
        <v>0</v>
      </c>
      <c r="HW34" s="12">
        <v>0</v>
      </c>
      <c r="HX34" s="12">
        <v>0</v>
      </c>
      <c r="HY34" s="12">
        <v>0</v>
      </c>
      <c r="HZ34" s="12">
        <v>0</v>
      </c>
      <c r="IA34" s="12">
        <v>0</v>
      </c>
      <c r="IB34" s="12">
        <v>0</v>
      </c>
      <c r="IC34" s="12">
        <v>0</v>
      </c>
      <c r="ID34" s="12">
        <v>0</v>
      </c>
      <c r="IE34" s="12">
        <v>0</v>
      </c>
      <c r="IF34" s="12">
        <v>0</v>
      </c>
      <c r="IG34" s="12">
        <v>0</v>
      </c>
      <c r="IH34" s="12">
        <v>0</v>
      </c>
      <c r="II34" s="12">
        <v>0</v>
      </c>
      <c r="IJ34" s="12">
        <v>0</v>
      </c>
      <c r="IK34" s="12">
        <v>0</v>
      </c>
      <c r="IL34" s="12">
        <v>0</v>
      </c>
      <c r="IM34" s="12">
        <v>0</v>
      </c>
      <c r="IN34" s="12">
        <v>0</v>
      </c>
      <c r="IO34" s="12">
        <v>0</v>
      </c>
      <c r="IP34" s="12">
        <v>0</v>
      </c>
      <c r="IQ34" s="12">
        <v>0</v>
      </c>
      <c r="IR34" s="12">
        <v>0</v>
      </c>
      <c r="IS34" s="12">
        <v>0</v>
      </c>
      <c r="IT34" s="12">
        <v>0</v>
      </c>
      <c r="IU34" s="12">
        <v>0</v>
      </c>
      <c r="IV34" s="12">
        <v>0</v>
      </c>
      <c r="IW34" s="12">
        <v>0</v>
      </c>
      <c r="IX34" s="11">
        <v>15000</v>
      </c>
      <c r="IY34" s="11">
        <v>15000</v>
      </c>
      <c r="IZ34" s="11">
        <v>15000</v>
      </c>
      <c r="JA34" s="85">
        <v>0</v>
      </c>
      <c r="JB34" s="85">
        <v>0</v>
      </c>
      <c r="JC34" s="85">
        <v>0</v>
      </c>
      <c r="JD34" s="12">
        <v>4</v>
      </c>
      <c r="JE34" s="12">
        <v>2</v>
      </c>
      <c r="JF34" s="12">
        <v>4</v>
      </c>
      <c r="JG34" s="12">
        <v>0</v>
      </c>
      <c r="JH34" s="12">
        <v>4</v>
      </c>
      <c r="JI34" s="12">
        <v>0</v>
      </c>
      <c r="JJ34" s="13" t="s">
        <v>619</v>
      </c>
      <c r="JK34" s="13" t="s">
        <v>620</v>
      </c>
      <c r="JL34" s="13" t="s">
        <v>296</v>
      </c>
      <c r="JM34" s="89"/>
      <c r="JN34" s="89"/>
      <c r="JO34" s="89" t="s">
        <v>296</v>
      </c>
      <c r="JP34" s="89"/>
      <c r="JQ34" s="89"/>
      <c r="JR34" s="89" t="s">
        <v>296</v>
      </c>
      <c r="JS34" s="89" t="s">
        <v>619</v>
      </c>
      <c r="JT34" s="89" t="s">
        <v>619</v>
      </c>
      <c r="JU34" s="89" t="s">
        <v>296</v>
      </c>
      <c r="JV34" s="89"/>
      <c r="JW34" s="89"/>
      <c r="JX34" s="89" t="s">
        <v>297</v>
      </c>
      <c r="JY34" s="12" t="s">
        <v>619</v>
      </c>
      <c r="JZ34" s="12" t="s">
        <v>34</v>
      </c>
      <c r="KA34" s="12" t="s">
        <v>34</v>
      </c>
      <c r="KB34" s="12" t="s">
        <v>34</v>
      </c>
      <c r="KC34" s="12" t="s">
        <v>619</v>
      </c>
      <c r="KD34" s="12" t="s">
        <v>34</v>
      </c>
      <c r="KE34" s="12" t="s">
        <v>34</v>
      </c>
      <c r="KF34" s="12"/>
      <c r="KG34" s="12" t="s">
        <v>34</v>
      </c>
      <c r="KH34" s="12" t="s">
        <v>34</v>
      </c>
      <c r="KI34" s="12" t="s">
        <v>34</v>
      </c>
      <c r="KJ34" s="12" t="s">
        <v>619</v>
      </c>
      <c r="KK34" s="12" t="s">
        <v>34</v>
      </c>
      <c r="KL34" s="12" t="s">
        <v>34</v>
      </c>
      <c r="KM34" s="12" t="s">
        <v>34</v>
      </c>
      <c r="KN34" s="12" t="s">
        <v>619</v>
      </c>
      <c r="KO34" s="12" t="s">
        <v>619</v>
      </c>
      <c r="KP34" s="12" t="s">
        <v>34</v>
      </c>
      <c r="KQ34" s="12" t="s">
        <v>34</v>
      </c>
      <c r="KR34" s="12" t="s">
        <v>34</v>
      </c>
      <c r="KS34" s="12" t="s">
        <v>619</v>
      </c>
      <c r="KT34" s="12" t="s">
        <v>34</v>
      </c>
      <c r="KU34" s="12" t="s">
        <v>34</v>
      </c>
      <c r="KV34" s="12" t="s">
        <v>34</v>
      </c>
      <c r="KW34" s="12" t="s">
        <v>34</v>
      </c>
      <c r="KX34" s="12" t="s">
        <v>619</v>
      </c>
      <c r="KY34" s="12" t="s">
        <v>34</v>
      </c>
      <c r="KZ34" s="12" t="s">
        <v>619</v>
      </c>
      <c r="LA34" s="12" t="s">
        <v>34</v>
      </c>
      <c r="LB34" s="12" t="s">
        <v>619</v>
      </c>
      <c r="LC34" s="12" t="s">
        <v>619</v>
      </c>
      <c r="LD34" s="12" t="s">
        <v>619</v>
      </c>
      <c r="LE34" s="12" t="s">
        <v>619</v>
      </c>
      <c r="LF34" s="12" t="s">
        <v>34</v>
      </c>
      <c r="LG34" s="12" t="s">
        <v>619</v>
      </c>
      <c r="LH34" s="12" t="s">
        <v>34</v>
      </c>
      <c r="LI34" s="12" t="s">
        <v>619</v>
      </c>
      <c r="LJ34" s="12" t="s">
        <v>619</v>
      </c>
      <c r="LK34" s="12" t="s">
        <v>34</v>
      </c>
      <c r="LL34" s="13" t="s">
        <v>619</v>
      </c>
      <c r="LM34" s="13" t="s">
        <v>34</v>
      </c>
      <c r="LN34" s="13" t="s">
        <v>619</v>
      </c>
      <c r="LO34" s="13" t="s">
        <v>34</v>
      </c>
      <c r="LP34" s="90" t="s">
        <v>619</v>
      </c>
      <c r="LQ34" s="13" t="s">
        <v>619</v>
      </c>
      <c r="LR34" s="13" t="s">
        <v>34</v>
      </c>
      <c r="LS34" s="13"/>
      <c r="LT34" s="13" t="s">
        <v>34</v>
      </c>
      <c r="LU34" s="13" t="s">
        <v>34</v>
      </c>
      <c r="LV34" s="13" t="s">
        <v>34</v>
      </c>
      <c r="LW34" s="13" t="s">
        <v>34</v>
      </c>
      <c r="LX34" s="13" t="s">
        <v>34</v>
      </c>
      <c r="LY34" s="13" t="s">
        <v>34</v>
      </c>
      <c r="LZ34" s="13" t="s">
        <v>34</v>
      </c>
      <c r="MA34" s="13" t="s">
        <v>619</v>
      </c>
      <c r="MB34" s="13" t="s">
        <v>619</v>
      </c>
      <c r="MC34" s="13" t="s">
        <v>34</v>
      </c>
      <c r="MD34" s="13" t="s">
        <v>619</v>
      </c>
      <c r="ME34" s="13" t="s">
        <v>34</v>
      </c>
      <c r="MF34" s="13" t="s">
        <v>619</v>
      </c>
      <c r="MG34" s="13" t="s">
        <v>34</v>
      </c>
      <c r="MH34" s="13" t="s">
        <v>34</v>
      </c>
      <c r="MI34" s="13" t="s">
        <v>34</v>
      </c>
      <c r="MJ34" s="13" t="s">
        <v>34</v>
      </c>
      <c r="MK34" s="13" t="s">
        <v>619</v>
      </c>
      <c r="ML34" s="13" t="s">
        <v>34</v>
      </c>
      <c r="MM34" s="13" t="s">
        <v>34</v>
      </c>
      <c r="MN34" s="13" t="s">
        <v>34</v>
      </c>
      <c r="MO34" s="13" t="s">
        <v>619</v>
      </c>
      <c r="MP34" s="13" t="s">
        <v>34</v>
      </c>
      <c r="MQ34" s="13" t="s">
        <v>619</v>
      </c>
      <c r="MR34" s="13" t="s">
        <v>619</v>
      </c>
      <c r="MS34" s="13" t="s">
        <v>34</v>
      </c>
      <c r="MT34" s="13" t="s">
        <v>34</v>
      </c>
      <c r="MU34" s="13" t="s">
        <v>34</v>
      </c>
      <c r="MV34" s="13" t="s">
        <v>619</v>
      </c>
      <c r="MW34" s="13" t="s">
        <v>619</v>
      </c>
      <c r="MX34" s="13" t="s">
        <v>34</v>
      </c>
      <c r="MY34" s="28" t="s">
        <v>296</v>
      </c>
      <c r="MZ34" s="28" t="s">
        <v>296</v>
      </c>
      <c r="NA34" s="28" t="s">
        <v>296</v>
      </c>
      <c r="NB34" s="28" t="s">
        <v>296</v>
      </c>
      <c r="NC34" s="28" t="s">
        <v>296</v>
      </c>
      <c r="ND34" s="28" t="s">
        <v>296</v>
      </c>
      <c r="NE34" s="28" t="s">
        <v>296</v>
      </c>
      <c r="NF34" s="28" t="s">
        <v>296</v>
      </c>
      <c r="NG34" s="28" t="s">
        <v>297</v>
      </c>
      <c r="NH34" s="28" t="s">
        <v>297</v>
      </c>
      <c r="NI34" s="177" t="s">
        <v>296</v>
      </c>
      <c r="NJ34" s="177" t="s">
        <v>297</v>
      </c>
      <c r="NK34" s="177" t="s">
        <v>296</v>
      </c>
      <c r="NL34" s="177" t="s">
        <v>297</v>
      </c>
      <c r="NM34" s="177" t="s">
        <v>296</v>
      </c>
      <c r="NN34" s="177" t="s">
        <v>296</v>
      </c>
      <c r="NO34" s="177" t="s">
        <v>296</v>
      </c>
      <c r="NP34" s="177" t="s">
        <v>296</v>
      </c>
      <c r="NQ34" s="177" t="s">
        <v>296</v>
      </c>
      <c r="NR34" s="12" t="s">
        <v>34</v>
      </c>
      <c r="NS34" s="13" t="s">
        <v>34</v>
      </c>
    </row>
    <row r="35" spans="1:383" x14ac:dyDescent="0.25">
      <c r="A35" s="8" t="s">
        <v>109</v>
      </c>
      <c r="B35" s="9" t="s">
        <v>110</v>
      </c>
      <c r="C35" s="9">
        <v>75</v>
      </c>
      <c r="D35" s="9" t="s">
        <v>70</v>
      </c>
      <c r="E35" s="10">
        <v>130</v>
      </c>
      <c r="F35" s="10">
        <v>135</v>
      </c>
      <c r="G35" s="10">
        <v>130</v>
      </c>
      <c r="H35" s="10">
        <v>126</v>
      </c>
      <c r="I35" s="10">
        <v>104</v>
      </c>
      <c r="J35" s="11">
        <v>815</v>
      </c>
      <c r="K35" s="11">
        <v>921</v>
      </c>
      <c r="L35" s="11">
        <v>997</v>
      </c>
      <c r="M35" s="11">
        <v>906</v>
      </c>
      <c r="N35" s="11">
        <v>629</v>
      </c>
      <c r="O35" s="13">
        <v>4382</v>
      </c>
      <c r="P35" s="13">
        <v>4795</v>
      </c>
      <c r="Q35" s="13">
        <v>4405</v>
      </c>
      <c r="R35" s="13">
        <v>4896</v>
      </c>
      <c r="S35" s="13">
        <v>3691</v>
      </c>
      <c r="T35" s="12">
        <v>615</v>
      </c>
      <c r="U35" s="12">
        <v>539</v>
      </c>
      <c r="V35" s="12">
        <v>494</v>
      </c>
      <c r="W35" s="12">
        <v>568</v>
      </c>
      <c r="X35" s="12">
        <v>239</v>
      </c>
      <c r="Y35" s="12">
        <v>10</v>
      </c>
      <c r="Z35" s="12">
        <v>10</v>
      </c>
      <c r="AA35" s="12">
        <v>10</v>
      </c>
      <c r="AB35" s="13">
        <v>10</v>
      </c>
      <c r="AC35" s="13">
        <v>10</v>
      </c>
      <c r="AD35" s="13">
        <v>10</v>
      </c>
      <c r="AE35" s="35" t="s">
        <v>258</v>
      </c>
      <c r="AF35" s="35" t="s">
        <v>258</v>
      </c>
      <c r="AG35" s="35" t="s">
        <v>258</v>
      </c>
      <c r="AH35" s="38">
        <v>1</v>
      </c>
      <c r="AI35" s="38">
        <v>1</v>
      </c>
      <c r="AJ35" s="38">
        <v>1</v>
      </c>
      <c r="AK35" s="45" t="s">
        <v>34</v>
      </c>
      <c r="AL35" s="45" t="s">
        <v>34</v>
      </c>
      <c r="AM35" s="45" t="s">
        <v>34</v>
      </c>
      <c r="AN35" s="45" t="s">
        <v>34</v>
      </c>
      <c r="AO35" s="45" t="s">
        <v>34</v>
      </c>
      <c r="AP35" s="45" t="s">
        <v>292</v>
      </c>
      <c r="AQ35" s="53" t="s">
        <v>297</v>
      </c>
      <c r="AR35" s="56">
        <v>69</v>
      </c>
      <c r="AS35" s="57">
        <v>32</v>
      </c>
      <c r="AT35" s="56">
        <v>35</v>
      </c>
      <c r="AU35" s="57">
        <v>8201</v>
      </c>
      <c r="AV35" s="57">
        <v>2190</v>
      </c>
      <c r="AW35" s="57">
        <v>3054</v>
      </c>
      <c r="AX35" s="57">
        <v>27</v>
      </c>
      <c r="AY35" s="57">
        <v>20</v>
      </c>
      <c r="AZ35" s="57">
        <v>27</v>
      </c>
      <c r="BA35" s="57">
        <v>2618</v>
      </c>
      <c r="BB35" s="57">
        <v>4418</v>
      </c>
      <c r="BC35" s="57">
        <v>4628</v>
      </c>
      <c r="BD35" s="57">
        <v>201</v>
      </c>
      <c r="BE35" s="57">
        <v>154</v>
      </c>
      <c r="BF35" s="57">
        <v>75</v>
      </c>
      <c r="BG35" s="57">
        <v>149</v>
      </c>
      <c r="BH35" s="57">
        <v>1069</v>
      </c>
      <c r="BI35" s="57">
        <v>2280</v>
      </c>
      <c r="BJ35" s="57" t="s">
        <v>296</v>
      </c>
      <c r="BK35" s="57">
        <v>40</v>
      </c>
      <c r="BL35" s="57">
        <v>0</v>
      </c>
      <c r="BM35" s="57">
        <v>0</v>
      </c>
      <c r="BN35" s="57">
        <v>1500</v>
      </c>
      <c r="BO35" s="57">
        <v>700</v>
      </c>
      <c r="BP35" s="57">
        <v>850</v>
      </c>
      <c r="BQ35" s="76">
        <v>917</v>
      </c>
      <c r="BR35" s="76">
        <v>915</v>
      </c>
      <c r="BS35">
        <v>910</v>
      </c>
      <c r="BT35">
        <v>910</v>
      </c>
      <c r="BU35">
        <v>911</v>
      </c>
      <c r="BV35">
        <v>137244</v>
      </c>
      <c r="BW35">
        <v>138504</v>
      </c>
      <c r="BX35">
        <v>139116</v>
      </c>
      <c r="BY35">
        <v>139321</v>
      </c>
      <c r="BZ35">
        <v>137635</v>
      </c>
      <c r="CA35">
        <v>113</v>
      </c>
      <c r="CB35">
        <v>130</v>
      </c>
      <c r="CC35">
        <v>125</v>
      </c>
      <c r="CD35">
        <v>130</v>
      </c>
      <c r="CE35">
        <v>101</v>
      </c>
      <c r="CF35">
        <v>4997</v>
      </c>
      <c r="CG35">
        <v>5334</v>
      </c>
      <c r="CH35">
        <v>4899</v>
      </c>
      <c r="CI35">
        <v>5464</v>
      </c>
      <c r="CJ35">
        <v>3930</v>
      </c>
      <c r="CK35" s="10">
        <v>27</v>
      </c>
      <c r="CL35" s="10">
        <v>27</v>
      </c>
      <c r="CM35" s="10">
        <v>27</v>
      </c>
      <c r="CN35" s="11">
        <v>17</v>
      </c>
      <c r="CO35" s="11">
        <v>17</v>
      </c>
      <c r="CP35" s="11">
        <v>17</v>
      </c>
      <c r="CQ35" s="13">
        <v>10</v>
      </c>
      <c r="CR35" s="13">
        <v>7</v>
      </c>
      <c r="CS35" s="13">
        <v>1</v>
      </c>
      <c r="CT35" s="10">
        <v>0</v>
      </c>
      <c r="CU35" s="10">
        <v>4</v>
      </c>
      <c r="CV35" s="10">
        <v>12</v>
      </c>
      <c r="CW35" s="10">
        <v>0</v>
      </c>
      <c r="CX35" s="10">
        <v>14</v>
      </c>
      <c r="CY35" s="10">
        <v>8</v>
      </c>
      <c r="CZ35" s="10">
        <v>0</v>
      </c>
      <c r="DA35" s="10">
        <v>0</v>
      </c>
      <c r="DB35" s="10">
        <v>12</v>
      </c>
      <c r="DC35" s="10">
        <v>8</v>
      </c>
      <c r="DD35" s="10">
        <v>0</v>
      </c>
      <c r="DE35" s="10">
        <v>0</v>
      </c>
      <c r="DF35" s="10">
        <v>0</v>
      </c>
      <c r="DG35" s="10">
        <v>4</v>
      </c>
      <c r="DH35" s="10">
        <v>0</v>
      </c>
      <c r="DI35" s="81">
        <v>4</v>
      </c>
      <c r="DJ35" s="81">
        <v>1</v>
      </c>
      <c r="DK35" s="81">
        <v>16</v>
      </c>
      <c r="DL35" s="81">
        <v>1</v>
      </c>
      <c r="DM35" s="81">
        <v>4</v>
      </c>
      <c r="DN35" s="12">
        <v>3</v>
      </c>
      <c r="DO35" s="12">
        <v>1</v>
      </c>
      <c r="DP35" s="12">
        <v>0</v>
      </c>
      <c r="DQ35" s="12">
        <v>0</v>
      </c>
      <c r="DR35" s="12">
        <v>0</v>
      </c>
      <c r="DS35" s="12">
        <v>0</v>
      </c>
      <c r="DT35" s="12">
        <v>0</v>
      </c>
      <c r="DU35" s="12">
        <v>0</v>
      </c>
      <c r="DV35" s="12">
        <v>3</v>
      </c>
      <c r="DW35" s="12">
        <v>1</v>
      </c>
      <c r="DX35" s="12">
        <v>0</v>
      </c>
      <c r="DY35" s="12">
        <v>2</v>
      </c>
      <c r="DZ35" s="12">
        <v>0</v>
      </c>
      <c r="EA35" s="12">
        <v>0</v>
      </c>
      <c r="EB35" s="12">
        <v>6</v>
      </c>
      <c r="EC35" s="12">
        <v>0</v>
      </c>
      <c r="ED35" s="12">
        <v>12</v>
      </c>
      <c r="EE35" s="12">
        <v>8</v>
      </c>
      <c r="EF35" s="12">
        <v>2</v>
      </c>
      <c r="EG35" s="12">
        <v>0</v>
      </c>
      <c r="EH35" s="12">
        <v>0</v>
      </c>
      <c r="EI35" s="12">
        <v>0</v>
      </c>
      <c r="EJ35" s="12">
        <v>0</v>
      </c>
      <c r="EK35" s="12">
        <v>3</v>
      </c>
      <c r="EL35" s="12">
        <v>4</v>
      </c>
      <c r="EM35" s="12">
        <v>1</v>
      </c>
      <c r="EN35" s="12">
        <v>4</v>
      </c>
      <c r="EO35" s="12">
        <v>1</v>
      </c>
      <c r="EP35" s="12">
        <v>1</v>
      </c>
      <c r="EQ35" s="12">
        <v>1</v>
      </c>
      <c r="ER35" s="12">
        <v>0</v>
      </c>
      <c r="ES35" s="13">
        <v>13</v>
      </c>
      <c r="ET35" s="13">
        <v>1</v>
      </c>
      <c r="EU35" s="13">
        <v>1</v>
      </c>
      <c r="EV35" s="10">
        <v>0</v>
      </c>
      <c r="EW35" s="10">
        <v>0</v>
      </c>
      <c r="EX35" s="10">
        <v>3</v>
      </c>
      <c r="EY35" s="10">
        <v>2</v>
      </c>
      <c r="EZ35" s="10">
        <v>0</v>
      </c>
      <c r="FA35" s="10">
        <v>0</v>
      </c>
      <c r="FB35" s="10">
        <v>0</v>
      </c>
      <c r="FC35" s="10">
        <v>0</v>
      </c>
      <c r="FD35" s="10">
        <v>0</v>
      </c>
      <c r="FE35" s="10">
        <v>0</v>
      </c>
      <c r="FF35" s="10">
        <v>0</v>
      </c>
      <c r="FG35" s="10">
        <v>0</v>
      </c>
      <c r="FH35" s="10">
        <v>0</v>
      </c>
      <c r="FI35" s="10">
        <v>0</v>
      </c>
      <c r="FJ35" s="10">
        <v>0</v>
      </c>
      <c r="FK35" s="81">
        <v>0</v>
      </c>
      <c r="FL35" s="81">
        <v>0</v>
      </c>
      <c r="FM35" s="81">
        <v>2</v>
      </c>
      <c r="FN35" s="81">
        <v>0</v>
      </c>
      <c r="FO35" s="81">
        <v>2</v>
      </c>
      <c r="FP35" s="12">
        <v>1</v>
      </c>
      <c r="FQ35" s="12">
        <v>0</v>
      </c>
      <c r="FR35" s="12">
        <v>1</v>
      </c>
      <c r="FS35" s="12">
        <v>0</v>
      </c>
      <c r="FT35" s="12">
        <v>0</v>
      </c>
      <c r="FU35" s="12">
        <v>0</v>
      </c>
      <c r="FV35" s="12">
        <v>0</v>
      </c>
      <c r="FW35" s="12">
        <v>0</v>
      </c>
      <c r="FX35" s="12">
        <v>0</v>
      </c>
      <c r="FY35" s="12">
        <v>1</v>
      </c>
      <c r="FZ35" s="12">
        <v>0</v>
      </c>
      <c r="GA35" s="12">
        <v>0</v>
      </c>
      <c r="GB35" s="12">
        <v>0</v>
      </c>
      <c r="GC35" s="12">
        <v>0</v>
      </c>
      <c r="GD35" s="12">
        <v>1</v>
      </c>
      <c r="GE35" s="12">
        <v>0</v>
      </c>
      <c r="GF35" s="12">
        <v>1</v>
      </c>
      <c r="GG35" s="12">
        <v>0</v>
      </c>
      <c r="GH35" s="12">
        <v>1</v>
      </c>
      <c r="GI35" s="12">
        <v>0</v>
      </c>
      <c r="GJ35" s="12">
        <v>0</v>
      </c>
      <c r="GK35" s="12">
        <v>1</v>
      </c>
      <c r="GL35" s="12">
        <v>0</v>
      </c>
      <c r="GM35" s="12">
        <v>0</v>
      </c>
      <c r="GN35" s="12">
        <v>1</v>
      </c>
      <c r="GO35" s="12">
        <v>4</v>
      </c>
      <c r="GP35" s="12">
        <v>1</v>
      </c>
      <c r="GQ35" s="12">
        <v>1</v>
      </c>
      <c r="GR35" s="12">
        <v>1</v>
      </c>
      <c r="GS35" s="12">
        <v>0</v>
      </c>
      <c r="GT35" s="12">
        <v>0</v>
      </c>
      <c r="GU35" s="13">
        <v>32</v>
      </c>
      <c r="GV35" s="13">
        <v>8</v>
      </c>
      <c r="GW35" s="13">
        <v>4</v>
      </c>
      <c r="GX35" s="13">
        <v>9</v>
      </c>
      <c r="GY35" s="10">
        <v>0</v>
      </c>
      <c r="GZ35" s="10">
        <v>0</v>
      </c>
      <c r="HA35" s="10">
        <v>12</v>
      </c>
      <c r="HB35" s="10">
        <v>8</v>
      </c>
      <c r="HC35" s="10">
        <v>6</v>
      </c>
      <c r="HD35" s="10">
        <v>0</v>
      </c>
      <c r="HE35" s="10">
        <v>0</v>
      </c>
      <c r="HF35" s="10">
        <v>0</v>
      </c>
      <c r="HG35" s="10">
        <v>9</v>
      </c>
      <c r="HH35" s="10">
        <v>0</v>
      </c>
      <c r="HI35" s="10">
        <v>0</v>
      </c>
      <c r="HJ35" s="10">
        <v>0</v>
      </c>
      <c r="HK35" s="10">
        <v>0</v>
      </c>
      <c r="HL35" s="10">
        <v>0</v>
      </c>
      <c r="HM35" s="10">
        <v>0</v>
      </c>
      <c r="HN35" s="81">
        <v>0</v>
      </c>
      <c r="HO35" s="81">
        <v>0</v>
      </c>
      <c r="HP35" s="81">
        <v>2</v>
      </c>
      <c r="HQ35" s="81">
        <v>0</v>
      </c>
      <c r="HR35" s="81">
        <v>0</v>
      </c>
      <c r="HS35" s="12">
        <v>0</v>
      </c>
      <c r="HT35" s="12">
        <v>0</v>
      </c>
      <c r="HU35" s="12">
        <v>1</v>
      </c>
      <c r="HV35" s="12">
        <v>0</v>
      </c>
      <c r="HW35" s="12">
        <v>0</v>
      </c>
      <c r="HX35" s="12">
        <v>0</v>
      </c>
      <c r="HY35" s="12">
        <v>0</v>
      </c>
      <c r="HZ35" s="12">
        <v>0</v>
      </c>
      <c r="IA35" s="12">
        <v>0</v>
      </c>
      <c r="IB35" s="12">
        <v>1</v>
      </c>
      <c r="IC35" s="12">
        <v>0</v>
      </c>
      <c r="ID35" s="12">
        <v>0</v>
      </c>
      <c r="IE35" s="12">
        <v>0</v>
      </c>
      <c r="IF35" s="12">
        <v>0</v>
      </c>
      <c r="IG35" s="12">
        <v>1</v>
      </c>
      <c r="IH35" s="12">
        <v>0</v>
      </c>
      <c r="II35" s="12">
        <v>1</v>
      </c>
      <c r="IJ35" s="12">
        <v>0</v>
      </c>
      <c r="IK35" s="12">
        <v>0</v>
      </c>
      <c r="IL35" s="12">
        <v>0</v>
      </c>
      <c r="IM35" s="12">
        <v>0</v>
      </c>
      <c r="IN35" s="12">
        <v>0</v>
      </c>
      <c r="IO35" s="12">
        <v>0</v>
      </c>
      <c r="IP35" s="12">
        <v>0</v>
      </c>
      <c r="IQ35" s="12">
        <v>1</v>
      </c>
      <c r="IR35" s="12">
        <v>15</v>
      </c>
      <c r="IS35" s="12">
        <v>0</v>
      </c>
      <c r="IT35" s="12">
        <v>0</v>
      </c>
      <c r="IU35" s="12">
        <v>10</v>
      </c>
      <c r="IV35" s="12">
        <v>2</v>
      </c>
      <c r="IW35" s="12">
        <v>0</v>
      </c>
      <c r="IX35" s="11">
        <v>49500</v>
      </c>
      <c r="IY35" s="11">
        <v>49500</v>
      </c>
      <c r="IZ35" s="11">
        <v>49500</v>
      </c>
      <c r="JA35" s="85">
        <v>1</v>
      </c>
      <c r="JB35" s="85">
        <v>0</v>
      </c>
      <c r="JC35" s="85">
        <v>0</v>
      </c>
      <c r="JD35" s="12">
        <v>21</v>
      </c>
      <c r="JE35" s="12">
        <v>9</v>
      </c>
      <c r="JF35" s="12">
        <v>21</v>
      </c>
      <c r="JG35" s="12">
        <v>9</v>
      </c>
      <c r="JH35" s="12">
        <v>22</v>
      </c>
      <c r="JI35" s="12">
        <v>8</v>
      </c>
      <c r="JJ35" s="13" t="s">
        <v>619</v>
      </c>
      <c r="JK35" s="13" t="s">
        <v>619</v>
      </c>
      <c r="JL35" s="13" t="s">
        <v>297</v>
      </c>
      <c r="JM35" s="89"/>
      <c r="JN35" s="89"/>
      <c r="JO35" s="89" t="s">
        <v>296</v>
      </c>
      <c r="JP35" s="89"/>
      <c r="JQ35" s="89"/>
      <c r="JR35" s="89" t="s">
        <v>296</v>
      </c>
      <c r="JS35" s="89" t="s">
        <v>620</v>
      </c>
      <c r="JT35" s="89" t="s">
        <v>619</v>
      </c>
      <c r="JU35" s="89" t="s">
        <v>296</v>
      </c>
      <c r="JV35" s="89"/>
      <c r="JW35" s="89"/>
      <c r="JX35" s="89" t="s">
        <v>297</v>
      </c>
      <c r="JY35" s="12" t="s">
        <v>619</v>
      </c>
      <c r="JZ35" s="12" t="s">
        <v>34</v>
      </c>
      <c r="KA35" s="12" t="s">
        <v>619</v>
      </c>
      <c r="KB35" s="12" t="s">
        <v>34</v>
      </c>
      <c r="KC35" s="12" t="s">
        <v>34</v>
      </c>
      <c r="KD35" s="12" t="s">
        <v>619</v>
      </c>
      <c r="KE35" s="12" t="s">
        <v>619</v>
      </c>
      <c r="KF35" s="12"/>
      <c r="KG35" s="12" t="s">
        <v>619</v>
      </c>
      <c r="KH35" s="12" t="s">
        <v>34</v>
      </c>
      <c r="KI35" s="12" t="s">
        <v>34</v>
      </c>
      <c r="KJ35" s="12" t="s">
        <v>619</v>
      </c>
      <c r="KK35" s="12" t="s">
        <v>619</v>
      </c>
      <c r="KL35" s="12" t="s">
        <v>619</v>
      </c>
      <c r="KM35" s="12" t="s">
        <v>619</v>
      </c>
      <c r="KN35" s="12" t="s">
        <v>619</v>
      </c>
      <c r="KO35" s="12" t="s">
        <v>34</v>
      </c>
      <c r="KP35" s="12" t="s">
        <v>619</v>
      </c>
      <c r="KQ35" s="12" t="s">
        <v>619</v>
      </c>
      <c r="KR35" s="12" t="s">
        <v>619</v>
      </c>
      <c r="KS35" s="12" t="s">
        <v>619</v>
      </c>
      <c r="KT35" s="12" t="s">
        <v>34</v>
      </c>
      <c r="KU35" s="12" t="s">
        <v>34</v>
      </c>
      <c r="KV35" s="12" t="s">
        <v>34</v>
      </c>
      <c r="KW35" s="12" t="s">
        <v>619</v>
      </c>
      <c r="KX35" s="12" t="s">
        <v>619</v>
      </c>
      <c r="KY35" s="12" t="s">
        <v>619</v>
      </c>
      <c r="KZ35" s="12" t="s">
        <v>619</v>
      </c>
      <c r="LA35" s="12" t="s">
        <v>619</v>
      </c>
      <c r="LB35" s="12" t="s">
        <v>619</v>
      </c>
      <c r="LC35" s="12" t="s">
        <v>619</v>
      </c>
      <c r="LD35" s="12" t="s">
        <v>34</v>
      </c>
      <c r="LE35" s="12" t="s">
        <v>34</v>
      </c>
      <c r="LF35" s="12" t="s">
        <v>34</v>
      </c>
      <c r="LG35" s="12" t="s">
        <v>619</v>
      </c>
      <c r="LH35" s="12" t="s">
        <v>34</v>
      </c>
      <c r="LI35" s="12" t="s">
        <v>619</v>
      </c>
      <c r="LJ35" s="12" t="s">
        <v>619</v>
      </c>
      <c r="LK35" s="12" t="s">
        <v>619</v>
      </c>
      <c r="LL35" s="13" t="s">
        <v>34</v>
      </c>
      <c r="LM35" s="13" t="s">
        <v>34</v>
      </c>
      <c r="LN35" s="13" t="s">
        <v>34</v>
      </c>
      <c r="LO35" s="13" t="s">
        <v>34</v>
      </c>
      <c r="LP35" s="90" t="s">
        <v>34</v>
      </c>
      <c r="LQ35" s="13" t="s">
        <v>34</v>
      </c>
      <c r="LR35" s="13" t="s">
        <v>34</v>
      </c>
      <c r="LS35" s="13"/>
      <c r="LT35" s="13" t="s">
        <v>34</v>
      </c>
      <c r="LU35" s="13" t="s">
        <v>34</v>
      </c>
      <c r="LV35" s="13" t="s">
        <v>34</v>
      </c>
      <c r="LW35" s="13" t="s">
        <v>34</v>
      </c>
      <c r="LX35" s="13" t="s">
        <v>34</v>
      </c>
      <c r="LY35" s="13" t="s">
        <v>34</v>
      </c>
      <c r="LZ35" s="13" t="s">
        <v>34</v>
      </c>
      <c r="MA35" s="13" t="s">
        <v>619</v>
      </c>
      <c r="MB35" s="13" t="s">
        <v>34</v>
      </c>
      <c r="MC35" s="13" t="s">
        <v>34</v>
      </c>
      <c r="MD35" s="13" t="s">
        <v>34</v>
      </c>
      <c r="ME35" s="13" t="s">
        <v>34</v>
      </c>
      <c r="MF35" s="13" t="s">
        <v>34</v>
      </c>
      <c r="MG35" s="13" t="s">
        <v>34</v>
      </c>
      <c r="MH35" s="13" t="s">
        <v>34</v>
      </c>
      <c r="MI35" s="13" t="s">
        <v>34</v>
      </c>
      <c r="MJ35" s="13" t="s">
        <v>34</v>
      </c>
      <c r="MK35" s="13" t="s">
        <v>34</v>
      </c>
      <c r="ML35" s="13" t="s">
        <v>34</v>
      </c>
      <c r="MM35" s="13" t="s">
        <v>34</v>
      </c>
      <c r="MN35" s="13" t="s">
        <v>34</v>
      </c>
      <c r="MO35" s="13" t="s">
        <v>619</v>
      </c>
      <c r="MP35" s="13" t="s">
        <v>34</v>
      </c>
      <c r="MQ35" s="13" t="s">
        <v>34</v>
      </c>
      <c r="MR35" s="13" t="s">
        <v>34</v>
      </c>
      <c r="MS35" s="13" t="s">
        <v>34</v>
      </c>
      <c r="MT35" s="13" t="s">
        <v>34</v>
      </c>
      <c r="MU35" s="13" t="s">
        <v>34</v>
      </c>
      <c r="MV35" s="13" t="s">
        <v>34</v>
      </c>
      <c r="MW35" s="13" t="s">
        <v>34</v>
      </c>
      <c r="MX35" s="13" t="s">
        <v>34</v>
      </c>
      <c r="MY35" s="28" t="s">
        <v>296</v>
      </c>
      <c r="MZ35" s="28" t="s">
        <v>296</v>
      </c>
      <c r="NA35" s="28" t="s">
        <v>296</v>
      </c>
      <c r="NB35" s="28" t="s">
        <v>296</v>
      </c>
      <c r="NC35" s="28" t="s">
        <v>296</v>
      </c>
      <c r="ND35" s="28" t="s">
        <v>297</v>
      </c>
      <c r="NE35" s="28" t="s">
        <v>297</v>
      </c>
      <c r="NF35" s="28" t="s">
        <v>297</v>
      </c>
      <c r="NG35" s="28" t="s">
        <v>297</v>
      </c>
      <c r="NH35" s="28" t="s">
        <v>297</v>
      </c>
      <c r="NI35" s="177" t="s">
        <v>296</v>
      </c>
      <c r="NJ35" s="177" t="s">
        <v>297</v>
      </c>
      <c r="NK35" s="177" t="s">
        <v>296</v>
      </c>
      <c r="NL35" s="177" t="s">
        <v>297</v>
      </c>
      <c r="NM35" s="177" t="s">
        <v>297</v>
      </c>
      <c r="NN35" s="177" t="s">
        <v>296</v>
      </c>
      <c r="NO35" s="177" t="s">
        <v>297</v>
      </c>
      <c r="NP35" s="177" t="s">
        <v>296</v>
      </c>
      <c r="NQ35" s="177" t="s">
        <v>297</v>
      </c>
      <c r="NR35" s="12" t="s">
        <v>619</v>
      </c>
      <c r="NS35" s="13" t="s">
        <v>34</v>
      </c>
    </row>
    <row r="36" spans="1:383" x14ac:dyDescent="0.25">
      <c r="A36" s="8" t="s">
        <v>111</v>
      </c>
      <c r="B36" s="9" t="s">
        <v>112</v>
      </c>
      <c r="C36" s="9">
        <v>76</v>
      </c>
      <c r="D36" s="9" t="s">
        <v>54</v>
      </c>
      <c r="E36" s="10">
        <v>83</v>
      </c>
      <c r="F36" s="10">
        <v>79</v>
      </c>
      <c r="G36" s="10">
        <v>76</v>
      </c>
      <c r="H36" s="10">
        <v>63</v>
      </c>
      <c r="I36" s="10">
        <v>7</v>
      </c>
      <c r="J36" s="11">
        <v>341</v>
      </c>
      <c r="K36" s="11">
        <v>323</v>
      </c>
      <c r="L36" s="11">
        <v>298</v>
      </c>
      <c r="M36" s="11">
        <v>277</v>
      </c>
      <c r="N36" s="11">
        <v>31</v>
      </c>
      <c r="O36" s="13">
        <v>4256</v>
      </c>
      <c r="P36" s="13">
        <v>4089</v>
      </c>
      <c r="Q36" s="13">
        <v>4031</v>
      </c>
      <c r="R36" s="13">
        <v>3417</v>
      </c>
      <c r="S36" s="13">
        <v>373</v>
      </c>
      <c r="T36" s="12">
        <v>1075</v>
      </c>
      <c r="U36" s="12">
        <v>1050</v>
      </c>
      <c r="V36" s="12">
        <v>910</v>
      </c>
      <c r="W36" s="12">
        <v>987</v>
      </c>
      <c r="X36" s="12">
        <v>21</v>
      </c>
      <c r="Y36" s="12">
        <v>7.3</v>
      </c>
      <c r="Z36" s="12">
        <v>7.3</v>
      </c>
      <c r="AA36" s="12">
        <v>7.3</v>
      </c>
      <c r="AB36" s="13">
        <v>6.9</v>
      </c>
      <c r="AC36" s="13">
        <v>6.9</v>
      </c>
      <c r="AD36" s="13">
        <v>6.9</v>
      </c>
      <c r="AE36" s="35" t="s">
        <v>261</v>
      </c>
      <c r="AF36" s="35" t="s">
        <v>265</v>
      </c>
      <c r="AG36" s="35" t="s">
        <v>259</v>
      </c>
      <c r="AH36" s="38">
        <v>1</v>
      </c>
      <c r="AI36" s="38">
        <v>1</v>
      </c>
      <c r="AJ36" s="38">
        <v>0.9</v>
      </c>
      <c r="AK36" s="45" t="s">
        <v>34</v>
      </c>
      <c r="AL36" s="45" t="s">
        <v>34</v>
      </c>
      <c r="AM36" s="45" t="s">
        <v>34</v>
      </c>
      <c r="AN36" s="45" t="s">
        <v>34</v>
      </c>
      <c r="AO36" s="45" t="s">
        <v>34</v>
      </c>
      <c r="AP36" s="45" t="s">
        <v>34</v>
      </c>
      <c r="AQ36" s="53" t="s">
        <v>297</v>
      </c>
      <c r="AR36" s="56">
        <v>119</v>
      </c>
      <c r="AS36" s="57">
        <v>0</v>
      </c>
      <c r="AT36" s="56">
        <v>17</v>
      </c>
      <c r="AU36" s="57">
        <v>10808</v>
      </c>
      <c r="AV36" s="57">
        <v>0</v>
      </c>
      <c r="AW36" s="57">
        <v>1767</v>
      </c>
      <c r="AX36" s="57">
        <v>0</v>
      </c>
      <c r="AY36" s="57">
        <v>0</v>
      </c>
      <c r="AZ36" s="57">
        <v>4</v>
      </c>
      <c r="BA36" s="57">
        <v>3012</v>
      </c>
      <c r="BB36" s="57">
        <v>4104</v>
      </c>
      <c r="BC36" s="57">
        <v>3304</v>
      </c>
      <c r="BD36" s="57">
        <v>0</v>
      </c>
      <c r="BE36" s="57">
        <v>0</v>
      </c>
      <c r="BF36" s="57">
        <v>0</v>
      </c>
      <c r="BG36" s="57">
        <v>150</v>
      </c>
      <c r="BH36" s="57">
        <v>450</v>
      </c>
      <c r="BI36" s="57">
        <v>1342</v>
      </c>
      <c r="BJ36" s="57" t="s">
        <v>297</v>
      </c>
      <c r="BK36" s="57">
        <v>7</v>
      </c>
      <c r="BL36" s="57">
        <v>0</v>
      </c>
      <c r="BM36" s="57">
        <v>0</v>
      </c>
      <c r="BN36" s="57">
        <v>100</v>
      </c>
      <c r="BO36" s="57">
        <v>500</v>
      </c>
      <c r="BP36" s="57">
        <v>1000</v>
      </c>
      <c r="BQ36" s="76">
        <v>625</v>
      </c>
      <c r="BR36" s="76">
        <v>624</v>
      </c>
      <c r="BS36">
        <v>624</v>
      </c>
      <c r="BT36">
        <v>624</v>
      </c>
      <c r="BU36">
        <v>620</v>
      </c>
      <c r="BV36">
        <v>96228</v>
      </c>
      <c r="BW36">
        <v>96787</v>
      </c>
      <c r="BX36">
        <v>97726</v>
      </c>
      <c r="BY36">
        <v>98136</v>
      </c>
      <c r="BZ36">
        <v>97512</v>
      </c>
      <c r="CA36">
        <v>78</v>
      </c>
      <c r="CB36">
        <v>75</v>
      </c>
      <c r="CC36">
        <v>74</v>
      </c>
      <c r="CD36">
        <v>63</v>
      </c>
      <c r="CE36">
        <v>7</v>
      </c>
      <c r="CF36">
        <v>5331</v>
      </c>
      <c r="CG36">
        <v>5139</v>
      </c>
      <c r="CH36">
        <v>4941</v>
      </c>
      <c r="CI36">
        <v>4404</v>
      </c>
      <c r="CJ36">
        <v>394</v>
      </c>
      <c r="CK36" s="10">
        <v>30</v>
      </c>
      <c r="CL36" s="10">
        <v>30.1</v>
      </c>
      <c r="CM36" s="10">
        <v>30.1</v>
      </c>
      <c r="CN36" s="11">
        <v>15</v>
      </c>
      <c r="CO36" s="11">
        <v>15</v>
      </c>
      <c r="CP36" s="11">
        <v>15</v>
      </c>
      <c r="CQ36" s="13">
        <v>48</v>
      </c>
      <c r="CR36" s="13">
        <v>2</v>
      </c>
      <c r="CS36" s="13">
        <v>0</v>
      </c>
      <c r="CT36" s="10">
        <v>0</v>
      </c>
      <c r="CU36" s="10">
        <v>0</v>
      </c>
      <c r="CV36" s="10">
        <v>34</v>
      </c>
      <c r="CW36" s="10">
        <v>15</v>
      </c>
      <c r="CX36" s="10">
        <v>5</v>
      </c>
      <c r="CY36" s="10">
        <v>0</v>
      </c>
      <c r="CZ36" s="10">
        <v>0</v>
      </c>
      <c r="DA36" s="10">
        <v>0</v>
      </c>
      <c r="DB36" s="10">
        <v>0</v>
      </c>
      <c r="DC36" s="10">
        <v>0</v>
      </c>
      <c r="DD36" s="10">
        <v>0</v>
      </c>
      <c r="DE36" s="10">
        <v>0</v>
      </c>
      <c r="DF36" s="10">
        <v>0</v>
      </c>
      <c r="DG36" s="10">
        <v>0</v>
      </c>
      <c r="DH36" s="10">
        <v>0</v>
      </c>
      <c r="DI36" s="81">
        <v>0</v>
      </c>
      <c r="DJ36" s="81">
        <v>0</v>
      </c>
      <c r="DK36" s="81">
        <v>1</v>
      </c>
      <c r="DL36" s="81">
        <v>0</v>
      </c>
      <c r="DM36" s="81">
        <v>0</v>
      </c>
      <c r="DN36" s="12">
        <v>0</v>
      </c>
      <c r="DO36" s="12">
        <v>0</v>
      </c>
      <c r="DP36" s="12">
        <v>0</v>
      </c>
      <c r="DQ36" s="12">
        <v>0</v>
      </c>
      <c r="DR36" s="12">
        <v>0</v>
      </c>
      <c r="DS36" s="12">
        <v>0</v>
      </c>
      <c r="DT36" s="12">
        <v>1</v>
      </c>
      <c r="DU36" s="12">
        <v>0</v>
      </c>
      <c r="DV36" s="12">
        <v>4</v>
      </c>
      <c r="DW36" s="12">
        <v>0</v>
      </c>
      <c r="DX36" s="12">
        <v>0</v>
      </c>
      <c r="DY36" s="12">
        <v>0</v>
      </c>
      <c r="DZ36" s="12">
        <v>1</v>
      </c>
      <c r="EA36" s="12">
        <v>0</v>
      </c>
      <c r="EB36" s="12">
        <v>20</v>
      </c>
      <c r="EC36" s="12">
        <v>0</v>
      </c>
      <c r="ED36" s="12">
        <v>19</v>
      </c>
      <c r="EE36" s="12">
        <v>1</v>
      </c>
      <c r="EF36" s="12">
        <v>2</v>
      </c>
      <c r="EG36" s="12">
        <v>1</v>
      </c>
      <c r="EH36" s="12">
        <v>0</v>
      </c>
      <c r="EI36" s="12">
        <v>0</v>
      </c>
      <c r="EJ36" s="12">
        <v>3</v>
      </c>
      <c r="EK36" s="12">
        <v>0</v>
      </c>
      <c r="EL36" s="12">
        <v>0</v>
      </c>
      <c r="EM36" s="12">
        <v>3</v>
      </c>
      <c r="EN36" s="12">
        <v>0</v>
      </c>
      <c r="EO36" s="12">
        <v>0</v>
      </c>
      <c r="EP36" s="12">
        <v>3</v>
      </c>
      <c r="EQ36" s="12">
        <v>1</v>
      </c>
      <c r="ER36" s="12">
        <v>0</v>
      </c>
      <c r="ES36" s="13">
        <v>0</v>
      </c>
      <c r="ET36" s="13">
        <v>0</v>
      </c>
      <c r="EU36" s="13">
        <v>0</v>
      </c>
      <c r="EV36" s="10">
        <v>0</v>
      </c>
      <c r="EW36" s="10">
        <v>0</v>
      </c>
      <c r="EX36" s="10">
        <v>0</v>
      </c>
      <c r="EY36" s="10">
        <v>0</v>
      </c>
      <c r="EZ36" s="10">
        <v>0</v>
      </c>
      <c r="FA36" s="10">
        <v>0</v>
      </c>
      <c r="FB36" s="10">
        <v>0</v>
      </c>
      <c r="FC36" s="10">
        <v>0</v>
      </c>
      <c r="FD36" s="10">
        <v>0</v>
      </c>
      <c r="FE36" s="10">
        <v>0</v>
      </c>
      <c r="FF36" s="10">
        <v>0</v>
      </c>
      <c r="FG36" s="10">
        <v>0</v>
      </c>
      <c r="FH36" s="10">
        <v>0</v>
      </c>
      <c r="FI36" s="10">
        <v>0</v>
      </c>
      <c r="FJ36" s="10">
        <v>0</v>
      </c>
      <c r="FK36" s="81">
        <v>0</v>
      </c>
      <c r="FL36" s="81">
        <v>0</v>
      </c>
      <c r="FM36" s="81">
        <v>0</v>
      </c>
      <c r="FN36" s="81">
        <v>0</v>
      </c>
      <c r="FO36" s="81">
        <v>0</v>
      </c>
      <c r="FP36" s="12">
        <v>0</v>
      </c>
      <c r="FQ36" s="12">
        <v>0</v>
      </c>
      <c r="FR36" s="12">
        <v>0</v>
      </c>
      <c r="FS36" s="12">
        <v>0</v>
      </c>
      <c r="FT36" s="12">
        <v>0</v>
      </c>
      <c r="FU36" s="12">
        <v>0</v>
      </c>
      <c r="FV36" s="12">
        <v>0</v>
      </c>
      <c r="FW36" s="12">
        <v>0</v>
      </c>
      <c r="FX36" s="12">
        <v>0</v>
      </c>
      <c r="FY36" s="12">
        <v>0</v>
      </c>
      <c r="FZ36" s="12">
        <v>0</v>
      </c>
      <c r="GA36" s="12">
        <v>0</v>
      </c>
      <c r="GB36" s="12">
        <v>0</v>
      </c>
      <c r="GC36" s="12">
        <v>0</v>
      </c>
      <c r="GD36" s="12">
        <v>0</v>
      </c>
      <c r="GE36" s="12">
        <v>0</v>
      </c>
      <c r="GF36" s="12">
        <v>0</v>
      </c>
      <c r="GG36" s="12">
        <v>0</v>
      </c>
      <c r="GH36" s="12">
        <v>0</v>
      </c>
      <c r="GI36" s="12">
        <v>0</v>
      </c>
      <c r="GJ36" s="12">
        <v>0</v>
      </c>
      <c r="GK36" s="12">
        <v>0</v>
      </c>
      <c r="GL36" s="12">
        <v>0</v>
      </c>
      <c r="GM36" s="12">
        <v>0</v>
      </c>
      <c r="GN36" s="12">
        <v>0</v>
      </c>
      <c r="GO36" s="12">
        <v>0</v>
      </c>
      <c r="GP36" s="12">
        <v>0</v>
      </c>
      <c r="GQ36" s="12">
        <v>0</v>
      </c>
      <c r="GR36" s="12">
        <v>0</v>
      </c>
      <c r="GS36" s="12">
        <v>0</v>
      </c>
      <c r="GT36" s="12">
        <v>0</v>
      </c>
      <c r="GU36" s="13">
        <v>0</v>
      </c>
      <c r="GV36" s="13">
        <v>5</v>
      </c>
      <c r="GW36" s="13">
        <v>4</v>
      </c>
      <c r="GX36" s="13">
        <v>0</v>
      </c>
      <c r="GY36" s="10">
        <v>0</v>
      </c>
      <c r="GZ36" s="10">
        <v>0</v>
      </c>
      <c r="HA36" s="10">
        <v>4</v>
      </c>
      <c r="HB36" s="10">
        <v>0</v>
      </c>
      <c r="HC36" s="10">
        <v>3</v>
      </c>
      <c r="HD36" s="10">
        <v>1</v>
      </c>
      <c r="HE36" s="10">
        <v>0</v>
      </c>
      <c r="HF36" s="10">
        <v>0</v>
      </c>
      <c r="HG36" s="10">
        <v>0</v>
      </c>
      <c r="HH36" s="10">
        <v>0</v>
      </c>
      <c r="HI36" s="10">
        <v>0</v>
      </c>
      <c r="HJ36" s="10">
        <v>0</v>
      </c>
      <c r="HK36" s="10">
        <v>0</v>
      </c>
      <c r="HL36" s="10">
        <v>4</v>
      </c>
      <c r="HM36" s="10">
        <v>0</v>
      </c>
      <c r="HN36" s="81">
        <v>0</v>
      </c>
      <c r="HO36" s="81">
        <v>0</v>
      </c>
      <c r="HP36" s="81">
        <v>0</v>
      </c>
      <c r="HQ36" s="81">
        <v>0</v>
      </c>
      <c r="HR36" s="81">
        <v>0</v>
      </c>
      <c r="HS36" s="12">
        <v>0</v>
      </c>
      <c r="HT36" s="12">
        <v>1</v>
      </c>
      <c r="HU36" s="12">
        <v>0</v>
      </c>
      <c r="HV36" s="12">
        <v>0</v>
      </c>
      <c r="HW36" s="12">
        <v>0</v>
      </c>
      <c r="HX36" s="12">
        <v>0</v>
      </c>
      <c r="HY36" s="12">
        <v>0</v>
      </c>
      <c r="HZ36" s="12">
        <v>0</v>
      </c>
      <c r="IA36" s="12">
        <v>0</v>
      </c>
      <c r="IB36" s="12">
        <v>0</v>
      </c>
      <c r="IC36" s="12">
        <v>1</v>
      </c>
      <c r="ID36" s="12">
        <v>0</v>
      </c>
      <c r="IE36" s="12">
        <v>0</v>
      </c>
      <c r="IF36" s="12">
        <v>0</v>
      </c>
      <c r="IG36" s="12">
        <v>1</v>
      </c>
      <c r="IH36" s="12">
        <v>0</v>
      </c>
      <c r="II36" s="12">
        <v>0</v>
      </c>
      <c r="IJ36" s="12">
        <v>0</v>
      </c>
      <c r="IK36" s="12">
        <v>0</v>
      </c>
      <c r="IL36" s="12">
        <v>0</v>
      </c>
      <c r="IM36" s="12">
        <v>0</v>
      </c>
      <c r="IN36" s="12">
        <v>0</v>
      </c>
      <c r="IO36" s="12">
        <v>0</v>
      </c>
      <c r="IP36" s="12">
        <v>0</v>
      </c>
      <c r="IQ36" s="12">
        <v>0</v>
      </c>
      <c r="IR36" s="12">
        <v>0</v>
      </c>
      <c r="IS36" s="12">
        <v>0</v>
      </c>
      <c r="IT36" s="12">
        <v>0</v>
      </c>
      <c r="IU36" s="12">
        <v>0</v>
      </c>
      <c r="IV36" s="12">
        <v>0</v>
      </c>
      <c r="IW36" s="12">
        <v>1</v>
      </c>
      <c r="IX36" s="11">
        <v>14100</v>
      </c>
      <c r="IY36" s="11">
        <v>14100</v>
      </c>
      <c r="IZ36" s="11">
        <v>14100</v>
      </c>
      <c r="JA36" s="85">
        <v>0</v>
      </c>
      <c r="JB36" s="85">
        <v>0</v>
      </c>
      <c r="JC36" s="85">
        <v>0</v>
      </c>
      <c r="JD36" s="12">
        <v>21</v>
      </c>
      <c r="JE36" s="12">
        <v>5</v>
      </c>
      <c r="JF36" s="12">
        <v>20</v>
      </c>
      <c r="JG36" s="12">
        <v>4</v>
      </c>
      <c r="JH36" s="12">
        <v>20</v>
      </c>
      <c r="JI36" s="12">
        <v>4</v>
      </c>
      <c r="JJ36" s="13" t="s">
        <v>620</v>
      </c>
      <c r="JK36" s="13" t="s">
        <v>619</v>
      </c>
      <c r="JL36" s="13" t="s">
        <v>297</v>
      </c>
      <c r="JM36" s="89"/>
      <c r="JN36" s="89"/>
      <c r="JO36" s="89" t="s">
        <v>296</v>
      </c>
      <c r="JP36" s="89"/>
      <c r="JQ36" s="89"/>
      <c r="JR36" s="89" t="s">
        <v>296</v>
      </c>
      <c r="JS36" s="89" t="s">
        <v>620</v>
      </c>
      <c r="JT36" s="89" t="s">
        <v>619</v>
      </c>
      <c r="JU36" s="89" t="s">
        <v>296</v>
      </c>
      <c r="JV36" s="89"/>
      <c r="JW36" s="89"/>
      <c r="JX36" s="89" t="s">
        <v>297</v>
      </c>
      <c r="JY36" s="12" t="s">
        <v>34</v>
      </c>
      <c r="JZ36" s="12" t="s">
        <v>34</v>
      </c>
      <c r="KA36" s="12" t="s">
        <v>34</v>
      </c>
      <c r="KB36" s="12" t="s">
        <v>619</v>
      </c>
      <c r="KC36" s="12" t="s">
        <v>34</v>
      </c>
      <c r="KD36" s="12" t="s">
        <v>34</v>
      </c>
      <c r="KE36" s="12" t="s">
        <v>34</v>
      </c>
      <c r="KF36" s="12"/>
      <c r="KG36" s="12" t="s">
        <v>34</v>
      </c>
      <c r="KH36" s="12" t="s">
        <v>34</v>
      </c>
      <c r="KI36" s="12" t="s">
        <v>34</v>
      </c>
      <c r="KJ36" s="12" t="s">
        <v>34</v>
      </c>
      <c r="KK36" s="12" t="s">
        <v>34</v>
      </c>
      <c r="KL36" s="12" t="s">
        <v>34</v>
      </c>
      <c r="KM36" s="12" t="s">
        <v>34</v>
      </c>
      <c r="KN36" s="12" t="s">
        <v>34</v>
      </c>
      <c r="KO36" s="12" t="s">
        <v>619</v>
      </c>
      <c r="KP36" s="12" t="s">
        <v>34</v>
      </c>
      <c r="KQ36" s="12" t="s">
        <v>34</v>
      </c>
      <c r="KR36" s="12" t="s">
        <v>34</v>
      </c>
      <c r="KS36" s="12" t="s">
        <v>34</v>
      </c>
      <c r="KT36" s="12" t="s">
        <v>34</v>
      </c>
      <c r="KU36" s="12" t="s">
        <v>34</v>
      </c>
      <c r="KV36" s="12" t="s">
        <v>34</v>
      </c>
      <c r="KW36" s="12" t="s">
        <v>34</v>
      </c>
      <c r="KX36" s="12" t="s">
        <v>34</v>
      </c>
      <c r="KY36" s="12" t="s">
        <v>34</v>
      </c>
      <c r="KZ36" s="12" t="s">
        <v>34</v>
      </c>
      <c r="LA36" s="12" t="s">
        <v>34</v>
      </c>
      <c r="LB36" s="12" t="s">
        <v>34</v>
      </c>
      <c r="LC36" s="12" t="s">
        <v>34</v>
      </c>
      <c r="LD36" s="12" t="s">
        <v>34</v>
      </c>
      <c r="LE36" s="12" t="s">
        <v>34</v>
      </c>
      <c r="LF36" s="12" t="s">
        <v>34</v>
      </c>
      <c r="LG36" s="12" t="s">
        <v>34</v>
      </c>
      <c r="LH36" s="12" t="s">
        <v>34</v>
      </c>
      <c r="LI36" s="12" t="s">
        <v>34</v>
      </c>
      <c r="LJ36" s="12" t="s">
        <v>34</v>
      </c>
      <c r="LK36" s="12" t="s">
        <v>34</v>
      </c>
      <c r="LL36" s="13" t="s">
        <v>34</v>
      </c>
      <c r="LM36" s="13" t="s">
        <v>34</v>
      </c>
      <c r="LN36" s="13" t="s">
        <v>34</v>
      </c>
      <c r="LO36" s="13" t="s">
        <v>34</v>
      </c>
      <c r="LP36" s="90" t="s">
        <v>34</v>
      </c>
      <c r="LQ36" s="13" t="s">
        <v>34</v>
      </c>
      <c r="LR36" s="13" t="s">
        <v>34</v>
      </c>
      <c r="LS36" s="13"/>
      <c r="LT36" s="13" t="s">
        <v>34</v>
      </c>
      <c r="LU36" s="13" t="s">
        <v>34</v>
      </c>
      <c r="LV36" s="13" t="s">
        <v>34</v>
      </c>
      <c r="LW36" s="13" t="s">
        <v>34</v>
      </c>
      <c r="LX36" s="13" t="s">
        <v>34</v>
      </c>
      <c r="LY36" s="13" t="s">
        <v>34</v>
      </c>
      <c r="LZ36" s="13" t="s">
        <v>34</v>
      </c>
      <c r="MA36" s="13" t="s">
        <v>34</v>
      </c>
      <c r="MB36" s="13" t="s">
        <v>619</v>
      </c>
      <c r="MC36" s="13" t="s">
        <v>34</v>
      </c>
      <c r="MD36" s="13" t="s">
        <v>34</v>
      </c>
      <c r="ME36" s="13" t="s">
        <v>34</v>
      </c>
      <c r="MF36" s="13" t="s">
        <v>34</v>
      </c>
      <c r="MG36" s="13" t="s">
        <v>34</v>
      </c>
      <c r="MH36" s="13" t="s">
        <v>34</v>
      </c>
      <c r="MI36" s="13" t="s">
        <v>34</v>
      </c>
      <c r="MJ36" s="13" t="s">
        <v>34</v>
      </c>
      <c r="MK36" s="13" t="s">
        <v>34</v>
      </c>
      <c r="ML36" s="13" t="s">
        <v>34</v>
      </c>
      <c r="MM36" s="13" t="s">
        <v>34</v>
      </c>
      <c r="MN36" s="13" t="s">
        <v>34</v>
      </c>
      <c r="MO36" s="13" t="s">
        <v>619</v>
      </c>
      <c r="MP36" s="13" t="s">
        <v>34</v>
      </c>
      <c r="MQ36" s="13" t="s">
        <v>34</v>
      </c>
      <c r="MR36" s="13" t="s">
        <v>34</v>
      </c>
      <c r="MS36" s="13" t="s">
        <v>34</v>
      </c>
      <c r="MT36" s="13" t="s">
        <v>34</v>
      </c>
      <c r="MU36" s="13" t="s">
        <v>34</v>
      </c>
      <c r="MV36" s="13" t="s">
        <v>34</v>
      </c>
      <c r="MW36" s="13" t="s">
        <v>34</v>
      </c>
      <c r="MX36" s="13" t="s">
        <v>34</v>
      </c>
      <c r="MY36" s="28" t="s">
        <v>296</v>
      </c>
      <c r="MZ36" s="28" t="s">
        <v>296</v>
      </c>
      <c r="NA36" s="28" t="s">
        <v>296</v>
      </c>
      <c r="NB36" s="28" t="s">
        <v>296</v>
      </c>
      <c r="NC36" s="28" t="s">
        <v>296</v>
      </c>
      <c r="ND36" s="28" t="s">
        <v>297</v>
      </c>
      <c r="NE36" s="28" t="s">
        <v>296</v>
      </c>
      <c r="NF36" s="28" t="s">
        <v>296</v>
      </c>
      <c r="NG36" s="28" t="s">
        <v>297</v>
      </c>
      <c r="NH36" s="28" t="s">
        <v>297</v>
      </c>
      <c r="NI36" s="177" t="s">
        <v>296</v>
      </c>
      <c r="NJ36" s="177" t="s">
        <v>297</v>
      </c>
      <c r="NK36" s="177" t="s">
        <v>297</v>
      </c>
      <c r="NL36" s="177" t="s">
        <v>297</v>
      </c>
      <c r="NM36" s="177" t="s">
        <v>296</v>
      </c>
      <c r="NN36" s="177" t="s">
        <v>296</v>
      </c>
      <c r="NO36" s="177" t="s">
        <v>296</v>
      </c>
      <c r="NP36" s="177" t="s">
        <v>297</v>
      </c>
      <c r="NQ36" s="177" t="s">
        <v>296</v>
      </c>
      <c r="NR36" s="12" t="s">
        <v>34</v>
      </c>
      <c r="NS36" s="13" t="s">
        <v>34</v>
      </c>
    </row>
    <row r="37" spans="1:383" x14ac:dyDescent="0.25">
      <c r="A37" s="8" t="s">
        <v>113</v>
      </c>
      <c r="B37" s="9" t="s">
        <v>114</v>
      </c>
      <c r="C37" s="9">
        <v>53</v>
      </c>
      <c r="D37" s="9" t="s">
        <v>83</v>
      </c>
      <c r="E37" s="10">
        <v>49</v>
      </c>
      <c r="F37" s="10">
        <v>57</v>
      </c>
      <c r="G37" s="10">
        <v>65</v>
      </c>
      <c r="H37" s="10">
        <v>63</v>
      </c>
      <c r="I37" s="10">
        <v>63</v>
      </c>
      <c r="J37" s="11">
        <v>165</v>
      </c>
      <c r="K37" s="11">
        <v>179</v>
      </c>
      <c r="L37" s="11">
        <v>153</v>
      </c>
      <c r="M37" s="11">
        <v>221</v>
      </c>
      <c r="N37" s="11">
        <v>232</v>
      </c>
      <c r="O37" s="13">
        <v>2719</v>
      </c>
      <c r="P37" s="13">
        <v>3036</v>
      </c>
      <c r="Q37" s="13">
        <v>3075</v>
      </c>
      <c r="R37" s="13">
        <v>3016</v>
      </c>
      <c r="S37" s="13">
        <v>3127</v>
      </c>
      <c r="T37" s="12">
        <v>1405</v>
      </c>
      <c r="U37" s="12">
        <v>1450</v>
      </c>
      <c r="V37" s="12">
        <v>1922</v>
      </c>
      <c r="W37" s="12">
        <v>2107</v>
      </c>
      <c r="X37" s="12">
        <v>1685</v>
      </c>
      <c r="Y37" s="12">
        <v>6</v>
      </c>
      <c r="Z37" s="12">
        <v>6.08</v>
      </c>
      <c r="AA37" s="12">
        <v>6.08</v>
      </c>
      <c r="AB37" s="13">
        <v>5.5</v>
      </c>
      <c r="AC37" s="13">
        <v>5.48</v>
      </c>
      <c r="AD37" s="13">
        <v>5.48</v>
      </c>
      <c r="AE37" s="35" t="s">
        <v>259</v>
      </c>
      <c r="AF37" s="35" t="s">
        <v>259</v>
      </c>
      <c r="AG37" s="35" t="s">
        <v>259</v>
      </c>
      <c r="AH37" s="38">
        <v>0.75</v>
      </c>
      <c r="AI37" s="38">
        <v>0.75</v>
      </c>
      <c r="AJ37" s="38">
        <v>0.8</v>
      </c>
      <c r="AK37" s="45" t="s">
        <v>34</v>
      </c>
      <c r="AL37" s="45" t="s">
        <v>34</v>
      </c>
      <c r="AM37" s="45" t="s">
        <v>34</v>
      </c>
      <c r="AN37" s="45" t="s">
        <v>293</v>
      </c>
      <c r="AO37" s="45" t="s">
        <v>34</v>
      </c>
      <c r="AP37" s="45" t="s">
        <v>34</v>
      </c>
      <c r="AQ37" s="53" t="s">
        <v>297</v>
      </c>
      <c r="AR37" s="56">
        <v>151</v>
      </c>
      <c r="AS37" s="57">
        <v>74</v>
      </c>
      <c r="AT37" s="56">
        <v>99</v>
      </c>
      <c r="AU37" s="57">
        <v>14707</v>
      </c>
      <c r="AV37" s="57">
        <v>6047</v>
      </c>
      <c r="AW37" s="57">
        <v>8427</v>
      </c>
      <c r="AX37" s="57">
        <v>0</v>
      </c>
      <c r="AY37" s="57">
        <v>0</v>
      </c>
      <c r="AZ37" s="57">
        <v>17</v>
      </c>
      <c r="BA37" s="57">
        <v>5191</v>
      </c>
      <c r="BB37" s="57">
        <v>1155</v>
      </c>
      <c r="BC37" s="57">
        <v>2388</v>
      </c>
      <c r="BD37" s="57">
        <v>3077</v>
      </c>
      <c r="BE37" s="57">
        <v>1782</v>
      </c>
      <c r="BF37" s="57">
        <v>874</v>
      </c>
      <c r="BG37" s="57">
        <v>3290</v>
      </c>
      <c r="BH37" s="57">
        <v>2458</v>
      </c>
      <c r="BI37" s="57">
        <v>2207</v>
      </c>
      <c r="BJ37" s="57" t="s">
        <v>297</v>
      </c>
      <c r="BK37" s="57">
        <v>24</v>
      </c>
      <c r="BL37" s="57">
        <v>0</v>
      </c>
      <c r="BM37" s="57">
        <v>0</v>
      </c>
      <c r="BN37" s="57">
        <v>1300</v>
      </c>
      <c r="BO37" s="57">
        <v>800</v>
      </c>
      <c r="BP37" s="57">
        <v>1000</v>
      </c>
      <c r="BQ37" s="76">
        <v>427</v>
      </c>
      <c r="BR37" s="76">
        <v>423</v>
      </c>
      <c r="BS37">
        <v>422</v>
      </c>
      <c r="BT37">
        <v>422</v>
      </c>
      <c r="BU37">
        <v>421</v>
      </c>
      <c r="BV37">
        <v>71402</v>
      </c>
      <c r="BW37">
        <v>71432</v>
      </c>
      <c r="BX37">
        <v>71270</v>
      </c>
      <c r="BY37">
        <v>70777</v>
      </c>
      <c r="BZ37">
        <v>69868</v>
      </c>
      <c r="CA37">
        <v>46</v>
      </c>
      <c r="CB37">
        <v>58</v>
      </c>
      <c r="CC37">
        <v>64</v>
      </c>
      <c r="CD37">
        <v>61</v>
      </c>
      <c r="CE37">
        <v>70</v>
      </c>
      <c r="CF37">
        <v>4124</v>
      </c>
      <c r="CG37">
        <v>4486</v>
      </c>
      <c r="CH37">
        <v>4997</v>
      </c>
      <c r="CI37">
        <v>5123</v>
      </c>
      <c r="CJ37">
        <v>4812</v>
      </c>
      <c r="CK37" s="10">
        <v>40</v>
      </c>
      <c r="CL37" s="10">
        <v>41</v>
      </c>
      <c r="CM37" s="10">
        <v>41</v>
      </c>
      <c r="CN37" s="11">
        <v>20.05</v>
      </c>
      <c r="CO37" s="11">
        <v>20</v>
      </c>
      <c r="CP37" s="11">
        <v>20</v>
      </c>
      <c r="CQ37" s="13">
        <v>24</v>
      </c>
      <c r="CR37" s="13">
        <v>3</v>
      </c>
      <c r="CS37" s="13">
        <v>0</v>
      </c>
      <c r="CT37" s="10">
        <v>0</v>
      </c>
      <c r="CU37" s="10">
        <v>0</v>
      </c>
      <c r="CV37" s="10">
        <v>15</v>
      </c>
      <c r="CW37" s="10">
        <v>3</v>
      </c>
      <c r="CX37" s="10">
        <v>2</v>
      </c>
      <c r="CY37" s="10">
        <v>0</v>
      </c>
      <c r="CZ37" s="10">
        <v>0</v>
      </c>
      <c r="DA37" s="10">
        <v>0</v>
      </c>
      <c r="DB37" s="10">
        <v>0</v>
      </c>
      <c r="DC37" s="10">
        <v>0</v>
      </c>
      <c r="DD37" s="10">
        <v>0</v>
      </c>
      <c r="DE37" s="10">
        <v>0</v>
      </c>
      <c r="DF37" s="10">
        <v>0</v>
      </c>
      <c r="DG37" s="10">
        <v>0</v>
      </c>
      <c r="DH37" s="10">
        <v>0</v>
      </c>
      <c r="DI37" s="81">
        <v>0</v>
      </c>
      <c r="DJ37" s="81">
        <v>0</v>
      </c>
      <c r="DK37" s="81">
        <v>14</v>
      </c>
      <c r="DL37" s="81">
        <v>0</v>
      </c>
      <c r="DM37" s="81">
        <v>6</v>
      </c>
      <c r="DN37" s="12">
        <v>2</v>
      </c>
      <c r="DO37" s="12">
        <v>1</v>
      </c>
      <c r="DP37" s="12">
        <v>0</v>
      </c>
      <c r="DQ37" s="12">
        <v>2</v>
      </c>
      <c r="DR37" s="12">
        <v>0</v>
      </c>
      <c r="DS37" s="12">
        <v>0</v>
      </c>
      <c r="DT37" s="12">
        <v>0</v>
      </c>
      <c r="DU37" s="12">
        <v>0</v>
      </c>
      <c r="DV37" s="12">
        <v>16</v>
      </c>
      <c r="DW37" s="12">
        <v>0</v>
      </c>
      <c r="DX37" s="12">
        <v>0</v>
      </c>
      <c r="DY37" s="12">
        <v>0</v>
      </c>
      <c r="DZ37" s="12">
        <v>0</v>
      </c>
      <c r="EA37" s="12">
        <v>0</v>
      </c>
      <c r="EB37" s="12">
        <v>4</v>
      </c>
      <c r="EC37" s="12">
        <v>0</v>
      </c>
      <c r="ED37" s="12">
        <v>3</v>
      </c>
      <c r="EE37" s="12">
        <v>0</v>
      </c>
      <c r="EF37" s="12">
        <v>10</v>
      </c>
      <c r="EG37" s="12">
        <v>0</v>
      </c>
      <c r="EH37" s="12">
        <v>0</v>
      </c>
      <c r="EI37" s="12">
        <v>0</v>
      </c>
      <c r="EJ37" s="12">
        <v>1</v>
      </c>
      <c r="EK37" s="12">
        <v>0</v>
      </c>
      <c r="EL37" s="12">
        <v>0</v>
      </c>
      <c r="EM37" s="12">
        <v>1</v>
      </c>
      <c r="EN37" s="12">
        <v>2</v>
      </c>
      <c r="EO37" s="12">
        <v>0</v>
      </c>
      <c r="EP37" s="12">
        <v>0</v>
      </c>
      <c r="EQ37" s="12">
        <v>0</v>
      </c>
      <c r="ER37" s="12">
        <v>0</v>
      </c>
      <c r="ES37" s="13">
        <v>7</v>
      </c>
      <c r="ET37" s="13">
        <v>4</v>
      </c>
      <c r="EU37" s="13">
        <v>0</v>
      </c>
      <c r="EV37" s="10">
        <v>0</v>
      </c>
      <c r="EW37" s="10">
        <v>0</v>
      </c>
      <c r="EX37" s="10">
        <v>0</v>
      </c>
      <c r="EY37" s="10">
        <v>2</v>
      </c>
      <c r="EZ37" s="10">
        <v>0</v>
      </c>
      <c r="FA37" s="10">
        <v>0</v>
      </c>
      <c r="FB37" s="10">
        <v>0</v>
      </c>
      <c r="FC37" s="10">
        <v>0</v>
      </c>
      <c r="FD37" s="10">
        <v>0</v>
      </c>
      <c r="FE37" s="10">
        <v>0</v>
      </c>
      <c r="FF37" s="10">
        <v>0</v>
      </c>
      <c r="FG37" s="10">
        <v>0</v>
      </c>
      <c r="FH37" s="10">
        <v>0</v>
      </c>
      <c r="FI37" s="10">
        <v>0</v>
      </c>
      <c r="FJ37" s="10">
        <v>0</v>
      </c>
      <c r="FK37" s="81">
        <v>0</v>
      </c>
      <c r="FL37" s="81">
        <v>22</v>
      </c>
      <c r="FM37" s="81">
        <v>10</v>
      </c>
      <c r="FN37" s="81">
        <v>0</v>
      </c>
      <c r="FO37" s="81">
        <v>9</v>
      </c>
      <c r="FP37" s="12">
        <v>0</v>
      </c>
      <c r="FQ37" s="12">
        <v>0</v>
      </c>
      <c r="FR37" s="12">
        <v>0</v>
      </c>
      <c r="FS37" s="12">
        <v>0</v>
      </c>
      <c r="FT37" s="12">
        <v>0</v>
      </c>
      <c r="FU37" s="12">
        <v>0</v>
      </c>
      <c r="FV37" s="12">
        <v>0</v>
      </c>
      <c r="FW37" s="12">
        <v>0</v>
      </c>
      <c r="FX37" s="12">
        <v>6</v>
      </c>
      <c r="FY37" s="12">
        <v>0</v>
      </c>
      <c r="FZ37" s="12">
        <v>0</v>
      </c>
      <c r="GA37" s="12">
        <v>0</v>
      </c>
      <c r="GB37" s="12">
        <v>0</v>
      </c>
      <c r="GC37" s="12">
        <v>0</v>
      </c>
      <c r="GD37" s="12">
        <v>11</v>
      </c>
      <c r="GE37" s="12">
        <v>0</v>
      </c>
      <c r="GF37" s="12">
        <v>0</v>
      </c>
      <c r="GG37" s="12">
        <v>14</v>
      </c>
      <c r="GH37" s="12">
        <v>9</v>
      </c>
      <c r="GI37" s="12">
        <v>0</v>
      </c>
      <c r="GJ37" s="12">
        <v>0</v>
      </c>
      <c r="GK37" s="12">
        <v>0</v>
      </c>
      <c r="GL37" s="12">
        <v>0</v>
      </c>
      <c r="GM37" s="12">
        <v>0</v>
      </c>
      <c r="GN37" s="12">
        <v>0</v>
      </c>
      <c r="GO37" s="12">
        <v>3</v>
      </c>
      <c r="GP37" s="12">
        <v>0</v>
      </c>
      <c r="GQ37" s="12">
        <v>0</v>
      </c>
      <c r="GR37" s="12">
        <v>0</v>
      </c>
      <c r="GS37" s="12">
        <v>0</v>
      </c>
      <c r="GT37" s="12">
        <v>1</v>
      </c>
      <c r="GU37" s="13">
        <v>74</v>
      </c>
      <c r="GV37" s="13">
        <v>8</v>
      </c>
      <c r="GW37" s="13">
        <v>9</v>
      </c>
      <c r="GX37" s="13">
        <v>0</v>
      </c>
      <c r="GY37" s="10">
        <v>0</v>
      </c>
      <c r="GZ37" s="10">
        <v>0</v>
      </c>
      <c r="HA37" s="10">
        <v>1</v>
      </c>
      <c r="HB37" s="10">
        <v>0</v>
      </c>
      <c r="HC37" s="10">
        <v>1</v>
      </c>
      <c r="HD37" s="10">
        <v>1</v>
      </c>
      <c r="HE37" s="10">
        <v>0</v>
      </c>
      <c r="HF37" s="10">
        <v>0</v>
      </c>
      <c r="HG37" s="10">
        <v>0</v>
      </c>
      <c r="HH37" s="10">
        <v>0</v>
      </c>
      <c r="HI37" s="10">
        <v>0</v>
      </c>
      <c r="HJ37" s="10">
        <v>0</v>
      </c>
      <c r="HK37" s="10">
        <v>0</v>
      </c>
      <c r="HL37" s="10">
        <v>9</v>
      </c>
      <c r="HM37" s="10">
        <v>0</v>
      </c>
      <c r="HN37" s="81">
        <v>0</v>
      </c>
      <c r="HO37" s="81">
        <v>0</v>
      </c>
      <c r="HP37" s="81">
        <v>0</v>
      </c>
      <c r="HQ37" s="81">
        <v>0</v>
      </c>
      <c r="HR37" s="81">
        <v>0</v>
      </c>
      <c r="HS37" s="12">
        <v>0</v>
      </c>
      <c r="HT37" s="12">
        <v>0</v>
      </c>
      <c r="HU37" s="12">
        <v>6</v>
      </c>
      <c r="HV37" s="12">
        <v>1</v>
      </c>
      <c r="HW37" s="12">
        <v>0</v>
      </c>
      <c r="HX37" s="12">
        <v>0</v>
      </c>
      <c r="HY37" s="12">
        <v>0</v>
      </c>
      <c r="HZ37" s="12">
        <v>1</v>
      </c>
      <c r="IA37" s="12">
        <v>4</v>
      </c>
      <c r="IB37" s="12">
        <v>6</v>
      </c>
      <c r="IC37" s="12">
        <v>2</v>
      </c>
      <c r="ID37" s="12">
        <v>0</v>
      </c>
      <c r="IE37" s="12">
        <v>0</v>
      </c>
      <c r="IF37" s="12">
        <v>0</v>
      </c>
      <c r="IG37" s="12">
        <v>1</v>
      </c>
      <c r="IH37" s="12">
        <v>0</v>
      </c>
      <c r="II37" s="12">
        <v>0</v>
      </c>
      <c r="IJ37" s="12">
        <v>0</v>
      </c>
      <c r="IK37" s="12">
        <v>0</v>
      </c>
      <c r="IL37" s="12">
        <v>0</v>
      </c>
      <c r="IM37" s="12">
        <v>0</v>
      </c>
      <c r="IN37" s="12">
        <v>0</v>
      </c>
      <c r="IO37" s="12">
        <v>0</v>
      </c>
      <c r="IP37" s="12">
        <v>0</v>
      </c>
      <c r="IQ37" s="12">
        <v>0</v>
      </c>
      <c r="IR37" s="12">
        <v>0</v>
      </c>
      <c r="IS37" s="12">
        <v>0</v>
      </c>
      <c r="IT37" s="12">
        <v>0</v>
      </c>
      <c r="IU37" s="12">
        <v>0</v>
      </c>
      <c r="IV37" s="12">
        <v>0</v>
      </c>
      <c r="IW37" s="12">
        <v>0</v>
      </c>
      <c r="IX37" s="11">
        <v>5715</v>
      </c>
      <c r="IY37" s="11">
        <v>6411</v>
      </c>
      <c r="IZ37" s="11">
        <v>6600</v>
      </c>
      <c r="JA37" s="85">
        <v>0</v>
      </c>
      <c r="JB37" s="85">
        <v>0</v>
      </c>
      <c r="JC37" s="85">
        <v>0</v>
      </c>
      <c r="JD37" s="12">
        <v>17</v>
      </c>
      <c r="JE37" s="12">
        <v>2</v>
      </c>
      <c r="JF37" s="12">
        <v>17</v>
      </c>
      <c r="JG37" s="12">
        <v>2</v>
      </c>
      <c r="JH37" s="12">
        <v>17</v>
      </c>
      <c r="JI37" s="12">
        <v>1</v>
      </c>
      <c r="JJ37" s="13" t="s">
        <v>619</v>
      </c>
      <c r="JK37" s="13" t="s">
        <v>620</v>
      </c>
      <c r="JL37" s="13" t="s">
        <v>296</v>
      </c>
      <c r="JM37" s="89"/>
      <c r="JN37" s="89"/>
      <c r="JO37" s="89" t="s">
        <v>296</v>
      </c>
      <c r="JP37" s="89"/>
      <c r="JQ37" s="89"/>
      <c r="JR37" s="89" t="s">
        <v>296</v>
      </c>
      <c r="JS37" s="89" t="s">
        <v>619</v>
      </c>
      <c r="JT37" s="89" t="s">
        <v>619</v>
      </c>
      <c r="JU37" s="89" t="s">
        <v>296</v>
      </c>
      <c r="JV37" s="89"/>
      <c r="JW37" s="89"/>
      <c r="JX37" s="89" t="s">
        <v>297</v>
      </c>
      <c r="JY37" s="12" t="s">
        <v>34</v>
      </c>
      <c r="JZ37" s="12" t="s">
        <v>619</v>
      </c>
      <c r="KA37" s="12" t="s">
        <v>34</v>
      </c>
      <c r="KB37" s="12" t="s">
        <v>619</v>
      </c>
      <c r="KC37" s="12" t="s">
        <v>619</v>
      </c>
      <c r="KD37" s="12" t="s">
        <v>34</v>
      </c>
      <c r="KE37" s="12" t="s">
        <v>34</v>
      </c>
      <c r="KF37" s="12"/>
      <c r="KG37" s="12" t="s">
        <v>34</v>
      </c>
      <c r="KH37" s="12" t="s">
        <v>34</v>
      </c>
      <c r="KI37" s="12" t="s">
        <v>34</v>
      </c>
      <c r="KJ37" s="12" t="s">
        <v>619</v>
      </c>
      <c r="KK37" s="12" t="s">
        <v>34</v>
      </c>
      <c r="KL37" s="12" t="s">
        <v>34</v>
      </c>
      <c r="KM37" s="12" t="s">
        <v>34</v>
      </c>
      <c r="KN37" s="12" t="s">
        <v>619</v>
      </c>
      <c r="KO37" s="12" t="s">
        <v>34</v>
      </c>
      <c r="KP37" s="12" t="s">
        <v>34</v>
      </c>
      <c r="KQ37" s="12" t="s">
        <v>619</v>
      </c>
      <c r="KR37" s="12" t="s">
        <v>34</v>
      </c>
      <c r="KS37" s="12" t="s">
        <v>34</v>
      </c>
      <c r="KT37" s="12" t="s">
        <v>34</v>
      </c>
      <c r="KU37" s="12" t="s">
        <v>34</v>
      </c>
      <c r="KV37" s="12" t="s">
        <v>34</v>
      </c>
      <c r="KW37" s="12" t="s">
        <v>34</v>
      </c>
      <c r="KX37" s="12" t="s">
        <v>34</v>
      </c>
      <c r="KY37" s="12" t="s">
        <v>619</v>
      </c>
      <c r="KZ37" s="12" t="s">
        <v>34</v>
      </c>
      <c r="LA37" s="12" t="s">
        <v>34</v>
      </c>
      <c r="LB37" s="12" t="s">
        <v>619</v>
      </c>
      <c r="LC37" s="12" t="s">
        <v>619</v>
      </c>
      <c r="LD37" s="12" t="s">
        <v>619</v>
      </c>
      <c r="LE37" s="12" t="s">
        <v>34</v>
      </c>
      <c r="LF37" s="12" t="s">
        <v>34</v>
      </c>
      <c r="LG37" s="12" t="s">
        <v>34</v>
      </c>
      <c r="LH37" s="12" t="s">
        <v>34</v>
      </c>
      <c r="LI37" s="12" t="s">
        <v>619</v>
      </c>
      <c r="LJ37" s="12" t="s">
        <v>34</v>
      </c>
      <c r="LK37" s="12" t="s">
        <v>34</v>
      </c>
      <c r="LL37" s="13" t="s">
        <v>34</v>
      </c>
      <c r="LM37" s="13" t="s">
        <v>34</v>
      </c>
      <c r="LN37" s="13" t="s">
        <v>619</v>
      </c>
      <c r="LO37" s="13" t="s">
        <v>619</v>
      </c>
      <c r="LP37" s="90" t="s">
        <v>619</v>
      </c>
      <c r="LQ37" s="13" t="s">
        <v>34</v>
      </c>
      <c r="LR37" s="13" t="s">
        <v>34</v>
      </c>
      <c r="LS37" s="13"/>
      <c r="LT37" s="13" t="s">
        <v>34</v>
      </c>
      <c r="LU37" s="13" t="s">
        <v>34</v>
      </c>
      <c r="LV37" s="13" t="s">
        <v>34</v>
      </c>
      <c r="LW37" s="13" t="s">
        <v>34</v>
      </c>
      <c r="LX37" s="13" t="s">
        <v>34</v>
      </c>
      <c r="LY37" s="13" t="s">
        <v>34</v>
      </c>
      <c r="LZ37" s="13" t="s">
        <v>619</v>
      </c>
      <c r="MA37" s="13" t="s">
        <v>619</v>
      </c>
      <c r="MB37" s="13" t="s">
        <v>34</v>
      </c>
      <c r="MC37" s="13" t="s">
        <v>34</v>
      </c>
      <c r="MD37" s="13" t="s">
        <v>619</v>
      </c>
      <c r="ME37" s="13" t="s">
        <v>34</v>
      </c>
      <c r="MF37" s="13" t="s">
        <v>34</v>
      </c>
      <c r="MG37" s="13" t="s">
        <v>34</v>
      </c>
      <c r="MH37" s="13" t="s">
        <v>34</v>
      </c>
      <c r="MI37" s="13" t="s">
        <v>34</v>
      </c>
      <c r="MJ37" s="13" t="s">
        <v>34</v>
      </c>
      <c r="MK37" s="13" t="s">
        <v>34</v>
      </c>
      <c r="ML37" s="13" t="s">
        <v>619</v>
      </c>
      <c r="MM37" s="13" t="s">
        <v>619</v>
      </c>
      <c r="MN37" s="13" t="s">
        <v>34</v>
      </c>
      <c r="MO37" s="13" t="s">
        <v>619</v>
      </c>
      <c r="MP37" s="13" t="s">
        <v>34</v>
      </c>
      <c r="MQ37" s="13" t="s">
        <v>34</v>
      </c>
      <c r="MR37" s="13" t="s">
        <v>34</v>
      </c>
      <c r="MS37" s="13" t="s">
        <v>34</v>
      </c>
      <c r="MT37" s="13" t="s">
        <v>34</v>
      </c>
      <c r="MU37" s="13" t="s">
        <v>34</v>
      </c>
      <c r="MV37" s="13" t="s">
        <v>34</v>
      </c>
      <c r="MW37" s="13" t="s">
        <v>34</v>
      </c>
      <c r="MX37" s="13" t="s">
        <v>34</v>
      </c>
      <c r="MY37" s="28" t="s">
        <v>296</v>
      </c>
      <c r="MZ37" s="28" t="s">
        <v>296</v>
      </c>
      <c r="NA37" s="28" t="s">
        <v>296</v>
      </c>
      <c r="NB37" s="28" t="s">
        <v>296</v>
      </c>
      <c r="NC37" s="28" t="s">
        <v>296</v>
      </c>
      <c r="ND37" s="28" t="s">
        <v>296</v>
      </c>
      <c r="NE37" s="28" t="s">
        <v>296</v>
      </c>
      <c r="NF37" s="28" t="s">
        <v>297</v>
      </c>
      <c r="NG37" s="28" t="s">
        <v>297</v>
      </c>
      <c r="NH37" s="28" t="s">
        <v>297</v>
      </c>
      <c r="NI37" s="177" t="s">
        <v>296</v>
      </c>
      <c r="NJ37" s="177" t="s">
        <v>297</v>
      </c>
      <c r="NK37" s="177" t="s">
        <v>296</v>
      </c>
      <c r="NL37" s="177" t="s">
        <v>296</v>
      </c>
      <c r="NM37" s="177" t="s">
        <v>296</v>
      </c>
      <c r="NN37" s="177" t="s">
        <v>296</v>
      </c>
      <c r="NO37" s="177" t="s">
        <v>296</v>
      </c>
      <c r="NP37" s="177" t="s">
        <v>296</v>
      </c>
      <c r="NQ37" s="177" t="s">
        <v>296</v>
      </c>
      <c r="NR37" s="12" t="s">
        <v>34</v>
      </c>
      <c r="NS37" s="13" t="s">
        <v>34</v>
      </c>
    </row>
    <row r="38" spans="1:383" x14ac:dyDescent="0.25">
      <c r="A38" s="8" t="s">
        <v>115</v>
      </c>
      <c r="B38" s="9" t="s">
        <v>116</v>
      </c>
      <c r="C38" s="9">
        <v>24</v>
      </c>
      <c r="D38" s="9" t="s">
        <v>75</v>
      </c>
      <c r="E38" s="10">
        <v>94</v>
      </c>
      <c r="F38" s="10">
        <v>87</v>
      </c>
      <c r="G38" s="10">
        <v>79</v>
      </c>
      <c r="H38" s="10">
        <v>70</v>
      </c>
      <c r="I38" s="10">
        <v>47</v>
      </c>
      <c r="J38" s="11">
        <v>266</v>
      </c>
      <c r="K38" s="11">
        <v>277</v>
      </c>
      <c r="L38" s="11">
        <v>253</v>
      </c>
      <c r="M38" s="11">
        <v>170</v>
      </c>
      <c r="N38" s="11">
        <v>106</v>
      </c>
      <c r="O38" s="13">
        <v>1800</v>
      </c>
      <c r="P38" s="13">
        <v>1579</v>
      </c>
      <c r="Q38" s="13">
        <v>1405</v>
      </c>
      <c r="R38" s="13">
        <v>893</v>
      </c>
      <c r="S38" s="13">
        <v>574</v>
      </c>
      <c r="T38" s="12">
        <v>109</v>
      </c>
      <c r="U38" s="12">
        <v>106</v>
      </c>
      <c r="V38" s="12">
        <v>237</v>
      </c>
      <c r="W38" s="12">
        <v>198</v>
      </c>
      <c r="X38" s="12">
        <v>148</v>
      </c>
      <c r="Y38" s="12">
        <v>6.3</v>
      </c>
      <c r="Z38" s="12">
        <v>6.3</v>
      </c>
      <c r="AA38" s="12">
        <v>6.3</v>
      </c>
      <c r="AB38" s="13">
        <v>5.95</v>
      </c>
      <c r="AC38" s="13">
        <v>5.95</v>
      </c>
      <c r="AD38" s="13">
        <v>5.95</v>
      </c>
      <c r="AE38" s="35" t="s">
        <v>259</v>
      </c>
      <c r="AF38" s="35" t="s">
        <v>259</v>
      </c>
      <c r="AG38" s="35" t="s">
        <v>259</v>
      </c>
      <c r="AH38" s="38">
        <v>1</v>
      </c>
      <c r="AI38" s="38">
        <v>1</v>
      </c>
      <c r="AJ38" s="38">
        <v>0.9</v>
      </c>
      <c r="AK38" s="45" t="s">
        <v>34</v>
      </c>
      <c r="AL38" s="45" t="s">
        <v>34</v>
      </c>
      <c r="AM38" s="45" t="s">
        <v>34</v>
      </c>
      <c r="AN38" s="45" t="s">
        <v>34</v>
      </c>
      <c r="AO38" s="45" t="s">
        <v>34</v>
      </c>
      <c r="AP38" s="45" t="s">
        <v>292</v>
      </c>
      <c r="AQ38" s="53" t="s">
        <v>297</v>
      </c>
      <c r="AR38" s="56">
        <v>107</v>
      </c>
      <c r="AS38" s="57">
        <v>48</v>
      </c>
      <c r="AT38" s="56">
        <v>68</v>
      </c>
      <c r="AU38" s="57">
        <v>3648</v>
      </c>
      <c r="AV38" s="57">
        <v>2098</v>
      </c>
      <c r="AW38" s="57">
        <v>836</v>
      </c>
      <c r="AX38" s="57">
        <v>28</v>
      </c>
      <c r="AY38" s="57">
        <v>20</v>
      </c>
      <c r="AZ38" s="57">
        <v>35</v>
      </c>
      <c r="BA38" s="57">
        <v>5380</v>
      </c>
      <c r="BB38" s="57">
        <v>1875</v>
      </c>
      <c r="BC38" s="57">
        <v>2497</v>
      </c>
      <c r="BD38" s="57">
        <v>1270</v>
      </c>
      <c r="BE38" s="57">
        <v>1849</v>
      </c>
      <c r="BF38" s="57">
        <v>2552</v>
      </c>
      <c r="BG38" s="57">
        <v>594</v>
      </c>
      <c r="BH38" s="57">
        <v>1018</v>
      </c>
      <c r="BI38" s="57">
        <v>2267</v>
      </c>
      <c r="BJ38" s="57" t="s">
        <v>297</v>
      </c>
      <c r="BK38" s="57">
        <v>1</v>
      </c>
      <c r="BL38" s="57">
        <v>5</v>
      </c>
      <c r="BM38" s="57">
        <v>1</v>
      </c>
      <c r="BN38" s="57">
        <v>0</v>
      </c>
      <c r="BO38" s="57">
        <v>137</v>
      </c>
      <c r="BP38" s="57">
        <v>24</v>
      </c>
      <c r="BQ38" s="76">
        <v>215</v>
      </c>
      <c r="BR38" s="76">
        <v>212</v>
      </c>
      <c r="BS38">
        <v>211</v>
      </c>
      <c r="BT38">
        <v>211</v>
      </c>
      <c r="BU38">
        <v>211</v>
      </c>
      <c r="BV38">
        <v>17005</v>
      </c>
      <c r="BW38">
        <v>16660</v>
      </c>
      <c r="BX38">
        <v>16312</v>
      </c>
      <c r="BY38">
        <v>15965</v>
      </c>
      <c r="BZ38">
        <v>15531</v>
      </c>
      <c r="CA38">
        <v>121</v>
      </c>
      <c r="CB38">
        <v>105</v>
      </c>
      <c r="CC38">
        <v>99</v>
      </c>
      <c r="CD38">
        <v>87</v>
      </c>
      <c r="CE38">
        <v>66</v>
      </c>
      <c r="CF38">
        <v>1909</v>
      </c>
      <c r="CG38">
        <v>1685</v>
      </c>
      <c r="CH38">
        <v>1642</v>
      </c>
      <c r="CI38">
        <v>1091</v>
      </c>
      <c r="CJ38">
        <v>722</v>
      </c>
      <c r="CK38" s="10">
        <v>50.9</v>
      </c>
      <c r="CL38" s="10">
        <v>51</v>
      </c>
      <c r="CM38" s="10">
        <v>51</v>
      </c>
      <c r="CN38" s="11">
        <v>22</v>
      </c>
      <c r="CO38" s="11">
        <v>22</v>
      </c>
      <c r="CP38" s="11">
        <v>22</v>
      </c>
      <c r="CQ38" s="13">
        <v>10</v>
      </c>
      <c r="CR38" s="13">
        <v>10</v>
      </c>
      <c r="CS38" s="13">
        <v>0</v>
      </c>
      <c r="CT38" s="10">
        <v>0</v>
      </c>
      <c r="CU38" s="10">
        <v>0</v>
      </c>
      <c r="CV38" s="10">
        <v>0</v>
      </c>
      <c r="CW38" s="10">
        <v>3</v>
      </c>
      <c r="CX38" s="10">
        <v>0</v>
      </c>
      <c r="CY38" s="10">
        <v>0</v>
      </c>
      <c r="CZ38" s="10">
        <v>10</v>
      </c>
      <c r="DA38" s="10">
        <v>0</v>
      </c>
      <c r="DB38" s="10">
        <v>3</v>
      </c>
      <c r="DC38" s="10">
        <v>0</v>
      </c>
      <c r="DD38" s="10">
        <v>0</v>
      </c>
      <c r="DE38" s="10">
        <v>0</v>
      </c>
      <c r="DF38" s="10">
        <v>0</v>
      </c>
      <c r="DG38" s="10">
        <v>0</v>
      </c>
      <c r="DH38" s="10">
        <v>0</v>
      </c>
      <c r="DI38" s="81">
        <v>0</v>
      </c>
      <c r="DJ38" s="81">
        <v>12</v>
      </c>
      <c r="DK38" s="81">
        <v>0</v>
      </c>
      <c r="DL38" s="81">
        <v>0</v>
      </c>
      <c r="DM38" s="81">
        <v>19</v>
      </c>
      <c r="DN38" s="12">
        <v>1</v>
      </c>
      <c r="DO38" s="12">
        <v>3</v>
      </c>
      <c r="DP38" s="12">
        <v>2</v>
      </c>
      <c r="DQ38" s="12">
        <v>0</v>
      </c>
      <c r="DR38" s="12">
        <v>0</v>
      </c>
      <c r="DS38" s="12">
        <v>0</v>
      </c>
      <c r="DT38" s="12">
        <v>0</v>
      </c>
      <c r="DU38" s="12">
        <v>0</v>
      </c>
      <c r="DV38" s="12">
        <v>0</v>
      </c>
      <c r="DW38" s="12">
        <v>5</v>
      </c>
      <c r="DX38" s="12">
        <v>2</v>
      </c>
      <c r="DY38" s="12">
        <v>2</v>
      </c>
      <c r="DZ38" s="12">
        <v>19</v>
      </c>
      <c r="EA38" s="12">
        <v>0</v>
      </c>
      <c r="EB38" s="12">
        <v>5</v>
      </c>
      <c r="EC38" s="12">
        <v>0</v>
      </c>
      <c r="ED38" s="12">
        <v>3</v>
      </c>
      <c r="EE38" s="12">
        <v>1</v>
      </c>
      <c r="EF38" s="12">
        <v>7</v>
      </c>
      <c r="EG38" s="12">
        <v>0</v>
      </c>
      <c r="EH38" s="12">
        <v>0</v>
      </c>
      <c r="EI38" s="12">
        <v>0</v>
      </c>
      <c r="EJ38" s="12">
        <v>0</v>
      </c>
      <c r="EK38" s="12">
        <v>0</v>
      </c>
      <c r="EL38" s="12">
        <v>1</v>
      </c>
      <c r="EM38" s="12">
        <v>1</v>
      </c>
      <c r="EN38" s="12">
        <v>1</v>
      </c>
      <c r="EO38" s="12">
        <v>1</v>
      </c>
      <c r="EP38" s="12">
        <v>0</v>
      </c>
      <c r="EQ38" s="12">
        <v>0</v>
      </c>
      <c r="ER38" s="12">
        <v>0</v>
      </c>
      <c r="ES38" s="13">
        <v>0</v>
      </c>
      <c r="ET38" s="13">
        <v>0</v>
      </c>
      <c r="EU38" s="13">
        <v>0</v>
      </c>
      <c r="EV38" s="10">
        <v>0</v>
      </c>
      <c r="EW38" s="10">
        <v>0</v>
      </c>
      <c r="EX38" s="10">
        <v>0</v>
      </c>
      <c r="EY38" s="10">
        <v>0</v>
      </c>
      <c r="EZ38" s="10">
        <v>0</v>
      </c>
      <c r="FA38" s="10">
        <v>0</v>
      </c>
      <c r="FB38" s="10">
        <v>0</v>
      </c>
      <c r="FC38" s="10">
        <v>0</v>
      </c>
      <c r="FD38" s="10">
        <v>0</v>
      </c>
      <c r="FE38" s="10">
        <v>0</v>
      </c>
      <c r="FF38" s="10">
        <v>0</v>
      </c>
      <c r="FG38" s="10">
        <v>0</v>
      </c>
      <c r="FH38" s="10">
        <v>0</v>
      </c>
      <c r="FI38" s="10">
        <v>0</v>
      </c>
      <c r="FJ38" s="10">
        <v>0</v>
      </c>
      <c r="FK38" s="81">
        <v>0</v>
      </c>
      <c r="FL38" s="81">
        <v>0</v>
      </c>
      <c r="FM38" s="81">
        <v>0</v>
      </c>
      <c r="FN38" s="81">
        <v>0</v>
      </c>
      <c r="FO38" s="81">
        <v>0</v>
      </c>
      <c r="FP38" s="12">
        <v>0</v>
      </c>
      <c r="FQ38" s="12">
        <v>0</v>
      </c>
      <c r="FR38" s="12">
        <v>0</v>
      </c>
      <c r="FS38" s="12">
        <v>0</v>
      </c>
      <c r="FT38" s="12">
        <v>0</v>
      </c>
      <c r="FU38" s="12">
        <v>0</v>
      </c>
      <c r="FV38" s="12">
        <v>0</v>
      </c>
      <c r="FW38" s="12">
        <v>0</v>
      </c>
      <c r="FX38" s="12">
        <v>0</v>
      </c>
      <c r="FY38" s="12">
        <v>0</v>
      </c>
      <c r="FZ38" s="12">
        <v>0</v>
      </c>
      <c r="GA38" s="12">
        <v>0</v>
      </c>
      <c r="GB38" s="12">
        <v>0</v>
      </c>
      <c r="GC38" s="12">
        <v>0</v>
      </c>
      <c r="GD38" s="12">
        <v>0</v>
      </c>
      <c r="GE38" s="12">
        <v>0</v>
      </c>
      <c r="GF38" s="12">
        <v>0</v>
      </c>
      <c r="GG38" s="12">
        <v>0</v>
      </c>
      <c r="GH38" s="12">
        <v>0</v>
      </c>
      <c r="GI38" s="12">
        <v>0</v>
      </c>
      <c r="GJ38" s="12">
        <v>0</v>
      </c>
      <c r="GK38" s="12">
        <v>0</v>
      </c>
      <c r="GL38" s="12">
        <v>0</v>
      </c>
      <c r="GM38" s="12">
        <v>0</v>
      </c>
      <c r="GN38" s="12">
        <v>0</v>
      </c>
      <c r="GO38" s="12">
        <v>0</v>
      </c>
      <c r="GP38" s="12">
        <v>0</v>
      </c>
      <c r="GQ38" s="12">
        <v>0</v>
      </c>
      <c r="GR38" s="12">
        <v>0</v>
      </c>
      <c r="GS38" s="12">
        <v>0</v>
      </c>
      <c r="GT38" s="12">
        <v>0</v>
      </c>
      <c r="GU38" s="13">
        <v>48</v>
      </c>
      <c r="GV38" s="13">
        <v>11</v>
      </c>
      <c r="GW38" s="13">
        <v>10</v>
      </c>
      <c r="GX38" s="13">
        <v>0</v>
      </c>
      <c r="GY38" s="10">
        <v>0</v>
      </c>
      <c r="GZ38" s="10">
        <v>0</v>
      </c>
      <c r="HA38" s="10">
        <v>7</v>
      </c>
      <c r="HB38" s="10">
        <v>4</v>
      </c>
      <c r="HC38" s="10">
        <v>15</v>
      </c>
      <c r="HD38" s="10">
        <v>0</v>
      </c>
      <c r="HE38" s="10">
        <v>0</v>
      </c>
      <c r="HF38" s="10">
        <v>0</v>
      </c>
      <c r="HG38" s="10">
        <v>0</v>
      </c>
      <c r="HH38" s="10">
        <v>0</v>
      </c>
      <c r="HI38" s="10">
        <v>0</v>
      </c>
      <c r="HJ38" s="10">
        <v>0</v>
      </c>
      <c r="HK38" s="10">
        <v>0</v>
      </c>
      <c r="HL38" s="10">
        <v>0</v>
      </c>
      <c r="HM38" s="10">
        <v>0</v>
      </c>
      <c r="HN38" s="81">
        <v>0</v>
      </c>
      <c r="HO38" s="81">
        <v>18</v>
      </c>
      <c r="HP38" s="81">
        <v>0</v>
      </c>
      <c r="HQ38" s="81">
        <v>0</v>
      </c>
      <c r="HR38" s="81">
        <v>0</v>
      </c>
      <c r="HS38" s="12">
        <v>0</v>
      </c>
      <c r="HT38" s="12">
        <v>0</v>
      </c>
      <c r="HU38" s="12">
        <v>0</v>
      </c>
      <c r="HV38" s="12">
        <v>0</v>
      </c>
      <c r="HW38" s="12">
        <v>0</v>
      </c>
      <c r="HX38" s="12">
        <v>0</v>
      </c>
      <c r="HY38" s="12">
        <v>0</v>
      </c>
      <c r="HZ38" s="12">
        <v>0</v>
      </c>
      <c r="IA38" s="12">
        <v>0</v>
      </c>
      <c r="IB38" s="12">
        <v>5</v>
      </c>
      <c r="IC38" s="12">
        <v>0</v>
      </c>
      <c r="ID38" s="12">
        <v>5</v>
      </c>
      <c r="IE38" s="12">
        <v>5</v>
      </c>
      <c r="IF38" s="12">
        <v>0</v>
      </c>
      <c r="IG38" s="12">
        <v>5</v>
      </c>
      <c r="IH38" s="12">
        <v>0</v>
      </c>
      <c r="II38" s="12">
        <v>0</v>
      </c>
      <c r="IJ38" s="12">
        <v>0</v>
      </c>
      <c r="IK38" s="12">
        <v>0</v>
      </c>
      <c r="IL38" s="12">
        <v>0</v>
      </c>
      <c r="IM38" s="12">
        <v>0</v>
      </c>
      <c r="IN38" s="12">
        <v>0</v>
      </c>
      <c r="IO38" s="12">
        <v>0</v>
      </c>
      <c r="IP38" s="12">
        <v>0</v>
      </c>
      <c r="IQ38" s="12">
        <v>1</v>
      </c>
      <c r="IR38" s="12">
        <v>0</v>
      </c>
      <c r="IS38" s="12">
        <v>0</v>
      </c>
      <c r="IT38" s="12">
        <v>0</v>
      </c>
      <c r="IU38" s="12">
        <v>0</v>
      </c>
      <c r="IV38" s="12">
        <v>0</v>
      </c>
      <c r="IW38" s="12">
        <v>0</v>
      </c>
      <c r="IX38" s="11">
        <v>8000</v>
      </c>
      <c r="IY38" s="11">
        <v>500</v>
      </c>
      <c r="IZ38" s="11">
        <v>10000</v>
      </c>
      <c r="JA38" s="85">
        <v>1</v>
      </c>
      <c r="JB38" s="85">
        <v>0</v>
      </c>
      <c r="JC38" s="85">
        <v>0</v>
      </c>
      <c r="JD38" s="12">
        <v>4</v>
      </c>
      <c r="JE38" s="12">
        <v>4</v>
      </c>
      <c r="JF38" s="12">
        <v>4</v>
      </c>
      <c r="JG38" s="12">
        <v>4</v>
      </c>
      <c r="JH38" s="12">
        <v>4</v>
      </c>
      <c r="JI38" s="12">
        <v>4</v>
      </c>
      <c r="JJ38" s="13" t="s">
        <v>619</v>
      </c>
      <c r="JK38" s="13" t="s">
        <v>619</v>
      </c>
      <c r="JL38" s="13" t="s">
        <v>296</v>
      </c>
      <c r="JM38" s="89"/>
      <c r="JN38" s="89"/>
      <c r="JO38" s="89" t="s">
        <v>297</v>
      </c>
      <c r="JP38" s="89"/>
      <c r="JQ38" s="89"/>
      <c r="JR38" s="89" t="s">
        <v>296</v>
      </c>
      <c r="JS38" s="89" t="s">
        <v>619</v>
      </c>
      <c r="JT38" s="89" t="s">
        <v>619</v>
      </c>
      <c r="JU38" s="89" t="s">
        <v>296</v>
      </c>
      <c r="JV38" s="89"/>
      <c r="JW38" s="89"/>
      <c r="JX38" s="89" t="s">
        <v>297</v>
      </c>
      <c r="JY38" s="12" t="s">
        <v>619</v>
      </c>
      <c r="JZ38" s="12" t="s">
        <v>34</v>
      </c>
      <c r="KA38" s="12" t="s">
        <v>619</v>
      </c>
      <c r="KB38" s="12" t="s">
        <v>34</v>
      </c>
      <c r="KC38" s="12" t="s">
        <v>619</v>
      </c>
      <c r="KD38" s="12" t="s">
        <v>34</v>
      </c>
      <c r="KE38" s="12" t="s">
        <v>34</v>
      </c>
      <c r="KF38" s="12"/>
      <c r="KG38" s="12" t="s">
        <v>34</v>
      </c>
      <c r="KH38" s="12" t="s">
        <v>34</v>
      </c>
      <c r="KI38" s="12" t="s">
        <v>34</v>
      </c>
      <c r="KJ38" s="12" t="s">
        <v>34</v>
      </c>
      <c r="KK38" s="12" t="s">
        <v>34</v>
      </c>
      <c r="KL38" s="12" t="s">
        <v>34</v>
      </c>
      <c r="KM38" s="12" t="s">
        <v>619</v>
      </c>
      <c r="KN38" s="12" t="s">
        <v>619</v>
      </c>
      <c r="KO38" s="12" t="s">
        <v>619</v>
      </c>
      <c r="KP38" s="12" t="s">
        <v>34</v>
      </c>
      <c r="KQ38" s="12" t="s">
        <v>619</v>
      </c>
      <c r="KR38" s="12" t="s">
        <v>619</v>
      </c>
      <c r="KS38" s="12" t="s">
        <v>34</v>
      </c>
      <c r="KT38" s="12" t="s">
        <v>34</v>
      </c>
      <c r="KU38" s="12" t="s">
        <v>34</v>
      </c>
      <c r="KV38" s="12" t="s">
        <v>34</v>
      </c>
      <c r="KW38" s="12" t="s">
        <v>34</v>
      </c>
      <c r="KX38" s="12" t="s">
        <v>34</v>
      </c>
      <c r="KY38" s="12" t="s">
        <v>34</v>
      </c>
      <c r="KZ38" s="12" t="s">
        <v>34</v>
      </c>
      <c r="LA38" s="12" t="s">
        <v>34</v>
      </c>
      <c r="LB38" s="12" t="s">
        <v>619</v>
      </c>
      <c r="LC38" s="12" t="s">
        <v>619</v>
      </c>
      <c r="LD38" s="12" t="s">
        <v>619</v>
      </c>
      <c r="LE38" s="12" t="s">
        <v>619</v>
      </c>
      <c r="LF38" s="12" t="s">
        <v>34</v>
      </c>
      <c r="LG38" s="12" t="s">
        <v>34</v>
      </c>
      <c r="LH38" s="12" t="s">
        <v>34</v>
      </c>
      <c r="LI38" s="12" t="s">
        <v>619</v>
      </c>
      <c r="LJ38" s="12" t="s">
        <v>619</v>
      </c>
      <c r="LK38" s="12" t="s">
        <v>34</v>
      </c>
      <c r="LL38" s="13" t="s">
        <v>34</v>
      </c>
      <c r="LM38" s="13" t="s">
        <v>34</v>
      </c>
      <c r="LN38" s="13" t="s">
        <v>34</v>
      </c>
      <c r="LO38" s="13" t="s">
        <v>34</v>
      </c>
      <c r="LP38" s="90" t="s">
        <v>34</v>
      </c>
      <c r="LQ38" s="13" t="s">
        <v>34</v>
      </c>
      <c r="LR38" s="13" t="s">
        <v>34</v>
      </c>
      <c r="LS38" s="13"/>
      <c r="LT38" s="13" t="s">
        <v>34</v>
      </c>
      <c r="LU38" s="13" t="s">
        <v>34</v>
      </c>
      <c r="LV38" s="13" t="s">
        <v>34</v>
      </c>
      <c r="LW38" s="13" t="s">
        <v>34</v>
      </c>
      <c r="LX38" s="13" t="s">
        <v>34</v>
      </c>
      <c r="LY38" s="13" t="s">
        <v>34</v>
      </c>
      <c r="LZ38" s="13" t="s">
        <v>34</v>
      </c>
      <c r="MA38" s="13" t="s">
        <v>34</v>
      </c>
      <c r="MB38" s="13" t="s">
        <v>34</v>
      </c>
      <c r="MC38" s="13" t="s">
        <v>34</v>
      </c>
      <c r="MD38" s="13" t="s">
        <v>34</v>
      </c>
      <c r="ME38" s="13" t="s">
        <v>34</v>
      </c>
      <c r="MF38" s="13" t="s">
        <v>34</v>
      </c>
      <c r="MG38" s="13" t="s">
        <v>34</v>
      </c>
      <c r="MH38" s="13" t="s">
        <v>34</v>
      </c>
      <c r="MI38" s="13" t="s">
        <v>34</v>
      </c>
      <c r="MJ38" s="13" t="s">
        <v>34</v>
      </c>
      <c r="MK38" s="13" t="s">
        <v>34</v>
      </c>
      <c r="ML38" s="13" t="s">
        <v>34</v>
      </c>
      <c r="MM38" s="13" t="s">
        <v>34</v>
      </c>
      <c r="MN38" s="13" t="s">
        <v>34</v>
      </c>
      <c r="MO38" s="13" t="s">
        <v>34</v>
      </c>
      <c r="MP38" s="13" t="s">
        <v>34</v>
      </c>
      <c r="MQ38" s="13" t="s">
        <v>34</v>
      </c>
      <c r="MR38" s="13" t="s">
        <v>34</v>
      </c>
      <c r="MS38" s="13" t="s">
        <v>34</v>
      </c>
      <c r="MT38" s="13" t="s">
        <v>34</v>
      </c>
      <c r="MU38" s="13" t="s">
        <v>34</v>
      </c>
      <c r="MV38" s="13" t="s">
        <v>34</v>
      </c>
      <c r="MW38" s="13" t="s">
        <v>34</v>
      </c>
      <c r="MX38" s="13" t="s">
        <v>34</v>
      </c>
      <c r="MY38" s="28" t="s">
        <v>296</v>
      </c>
      <c r="MZ38" s="28" t="s">
        <v>297</v>
      </c>
      <c r="NA38" s="28" t="s">
        <v>296</v>
      </c>
      <c r="NB38" s="28" t="s">
        <v>296</v>
      </c>
      <c r="NC38" s="28" t="s">
        <v>296</v>
      </c>
      <c r="ND38" s="28" t="s">
        <v>297</v>
      </c>
      <c r="NE38" s="28" t="s">
        <v>296</v>
      </c>
      <c r="NF38" s="28" t="s">
        <v>296</v>
      </c>
      <c r="NG38" s="28" t="s">
        <v>297</v>
      </c>
      <c r="NH38" s="28" t="s">
        <v>297</v>
      </c>
      <c r="NI38" s="177" t="s">
        <v>296</v>
      </c>
      <c r="NJ38" s="177" t="s">
        <v>297</v>
      </c>
      <c r="NK38" s="177" t="s">
        <v>296</v>
      </c>
      <c r="NL38" s="177" t="s">
        <v>296</v>
      </c>
      <c r="NM38" s="177" t="s">
        <v>296</v>
      </c>
      <c r="NN38" s="177" t="s">
        <v>296</v>
      </c>
      <c r="NO38" s="177" t="s">
        <v>296</v>
      </c>
      <c r="NP38" s="177" t="s">
        <v>297</v>
      </c>
      <c r="NQ38" s="177" t="s">
        <v>296</v>
      </c>
      <c r="NR38" s="12" t="s">
        <v>34</v>
      </c>
      <c r="NS38" s="13" t="s">
        <v>34</v>
      </c>
    </row>
    <row r="39" spans="1:383" x14ac:dyDescent="0.25">
      <c r="A39" s="8" t="s">
        <v>117</v>
      </c>
      <c r="B39" s="9" t="s">
        <v>118</v>
      </c>
      <c r="C39" s="9">
        <v>24</v>
      </c>
      <c r="D39" s="9" t="s">
        <v>75</v>
      </c>
      <c r="E39" s="10">
        <v>126</v>
      </c>
      <c r="F39" s="10">
        <v>116</v>
      </c>
      <c r="G39" s="10">
        <v>121</v>
      </c>
      <c r="H39" s="10">
        <v>120</v>
      </c>
      <c r="I39" s="10">
        <v>105</v>
      </c>
      <c r="J39" s="11">
        <v>546</v>
      </c>
      <c r="K39" s="11">
        <v>532</v>
      </c>
      <c r="L39" s="11">
        <v>454</v>
      </c>
      <c r="M39" s="11">
        <v>477</v>
      </c>
      <c r="N39" s="11">
        <v>408</v>
      </c>
      <c r="O39" s="13">
        <v>9313</v>
      </c>
      <c r="P39" s="13">
        <v>8812</v>
      </c>
      <c r="Q39" s="13">
        <v>8594</v>
      </c>
      <c r="R39" s="13">
        <v>8373</v>
      </c>
      <c r="S39" s="13">
        <v>7192</v>
      </c>
      <c r="T39" s="12">
        <v>2923</v>
      </c>
      <c r="U39" s="12">
        <v>2480</v>
      </c>
      <c r="V39" s="12">
        <v>2440</v>
      </c>
      <c r="W39" s="12">
        <v>2412</v>
      </c>
      <c r="X39" s="12">
        <v>2019</v>
      </c>
      <c r="Y39" s="12">
        <v>5</v>
      </c>
      <c r="Z39" s="12">
        <v>5.01</v>
      </c>
      <c r="AA39" s="12">
        <v>5.01</v>
      </c>
      <c r="AB39" s="13">
        <v>4.66</v>
      </c>
      <c r="AC39" s="13">
        <v>4.67</v>
      </c>
      <c r="AD39" s="13">
        <v>4.67</v>
      </c>
      <c r="AE39" s="35" t="s">
        <v>258</v>
      </c>
      <c r="AF39" s="35" t="s">
        <v>258</v>
      </c>
      <c r="AG39" s="35" t="s">
        <v>258</v>
      </c>
      <c r="AH39" s="38">
        <v>1</v>
      </c>
      <c r="AI39" s="38">
        <v>1</v>
      </c>
      <c r="AJ39" s="38">
        <v>0.9</v>
      </c>
      <c r="AK39" s="45" t="s">
        <v>288</v>
      </c>
      <c r="AL39" s="45" t="s">
        <v>34</v>
      </c>
      <c r="AM39" s="45" t="s">
        <v>34</v>
      </c>
      <c r="AN39" s="45" t="s">
        <v>34</v>
      </c>
      <c r="AO39" s="45" t="s">
        <v>34</v>
      </c>
      <c r="AP39" s="45" t="s">
        <v>292</v>
      </c>
      <c r="AQ39" s="53" t="s">
        <v>297</v>
      </c>
      <c r="AR39" s="56">
        <v>92</v>
      </c>
      <c r="AS39" s="57">
        <v>34</v>
      </c>
      <c r="AT39" s="56">
        <v>61</v>
      </c>
      <c r="AU39" s="57">
        <v>19414</v>
      </c>
      <c r="AV39" s="57">
        <v>8160</v>
      </c>
      <c r="AW39" s="57">
        <v>5285</v>
      </c>
      <c r="AX39" s="57">
        <v>7</v>
      </c>
      <c r="AY39" s="57">
        <v>3</v>
      </c>
      <c r="AZ39" s="57">
        <v>0</v>
      </c>
      <c r="BA39" s="57">
        <v>3252</v>
      </c>
      <c r="BB39" s="57">
        <v>8229</v>
      </c>
      <c r="BC39" s="57">
        <v>8166</v>
      </c>
      <c r="BD39" s="57">
        <v>1150</v>
      </c>
      <c r="BE39" s="57">
        <v>3121</v>
      </c>
      <c r="BF39" s="57">
        <v>2889</v>
      </c>
      <c r="BG39" s="57">
        <v>733</v>
      </c>
      <c r="BH39" s="57">
        <v>2056</v>
      </c>
      <c r="BI39" s="57">
        <v>1517</v>
      </c>
      <c r="BJ39" s="57" t="s">
        <v>296</v>
      </c>
      <c r="BK39" s="57">
        <v>7</v>
      </c>
      <c r="BL39" s="57">
        <v>0</v>
      </c>
      <c r="BM39" s="57">
        <v>1</v>
      </c>
      <c r="BN39" s="57">
        <v>225</v>
      </c>
      <c r="BO39" s="57">
        <v>382</v>
      </c>
      <c r="BP39" s="57">
        <v>86</v>
      </c>
      <c r="BQ39" s="76">
        <v>411</v>
      </c>
      <c r="BR39" s="76">
        <v>407</v>
      </c>
      <c r="BS39">
        <v>403</v>
      </c>
      <c r="BT39">
        <v>403</v>
      </c>
      <c r="BU39">
        <v>402</v>
      </c>
      <c r="BV39">
        <v>51412</v>
      </c>
      <c r="BW39">
        <v>51302</v>
      </c>
      <c r="BX39">
        <v>51224</v>
      </c>
      <c r="BY39">
        <v>51086</v>
      </c>
      <c r="BZ39">
        <v>50562</v>
      </c>
      <c r="CA39">
        <v>130</v>
      </c>
      <c r="CB39">
        <v>119</v>
      </c>
      <c r="CC39">
        <v>119</v>
      </c>
      <c r="CD39">
        <v>120</v>
      </c>
      <c r="CE39">
        <v>105</v>
      </c>
      <c r="CF39">
        <v>12236</v>
      </c>
      <c r="CG39">
        <v>11292</v>
      </c>
      <c r="CH39">
        <v>11034</v>
      </c>
      <c r="CI39">
        <v>10785</v>
      </c>
      <c r="CJ39">
        <v>9211</v>
      </c>
      <c r="CK39" s="10">
        <v>78.5</v>
      </c>
      <c r="CL39" s="10">
        <v>78.599999999999994</v>
      </c>
      <c r="CM39" s="10">
        <v>78.599999999999994</v>
      </c>
      <c r="CN39" s="11">
        <v>15.13</v>
      </c>
      <c r="CO39" s="11">
        <v>15.12</v>
      </c>
      <c r="CP39" s="11">
        <v>15.12</v>
      </c>
      <c r="CQ39" s="13">
        <v>25</v>
      </c>
      <c r="CR39" s="13">
        <v>17</v>
      </c>
      <c r="CS39" s="13">
        <v>0</v>
      </c>
      <c r="CT39" s="10">
        <v>0</v>
      </c>
      <c r="CU39" s="10">
        <v>0</v>
      </c>
      <c r="CV39" s="10">
        <v>14</v>
      </c>
      <c r="CW39" s="10">
        <v>14</v>
      </c>
      <c r="CX39" s="10">
        <v>6</v>
      </c>
      <c r="CY39" s="10">
        <v>0</v>
      </c>
      <c r="CZ39" s="10">
        <v>0</v>
      </c>
      <c r="DA39" s="10">
        <v>0</v>
      </c>
      <c r="DB39" s="10">
        <v>3</v>
      </c>
      <c r="DC39" s="10">
        <v>0</v>
      </c>
      <c r="DD39" s="10">
        <v>0</v>
      </c>
      <c r="DE39" s="10">
        <v>0</v>
      </c>
      <c r="DF39" s="10">
        <v>3</v>
      </c>
      <c r="DG39" s="10">
        <v>0</v>
      </c>
      <c r="DH39" s="10">
        <v>2</v>
      </c>
      <c r="DI39" s="81">
        <v>0</v>
      </c>
      <c r="DJ39" s="81">
        <v>0</v>
      </c>
      <c r="DK39" s="81">
        <v>16</v>
      </c>
      <c r="DL39" s="81">
        <v>1</v>
      </c>
      <c r="DM39" s="81">
        <v>4</v>
      </c>
      <c r="DN39" s="12">
        <v>1</v>
      </c>
      <c r="DO39" s="12">
        <v>0</v>
      </c>
      <c r="DP39" s="12">
        <v>0</v>
      </c>
      <c r="DQ39" s="12">
        <v>0</v>
      </c>
      <c r="DR39" s="12">
        <v>0</v>
      </c>
      <c r="DS39" s="12">
        <v>0</v>
      </c>
      <c r="DT39" s="12">
        <v>0</v>
      </c>
      <c r="DU39" s="12">
        <v>0</v>
      </c>
      <c r="DV39" s="12">
        <v>8</v>
      </c>
      <c r="DW39" s="12">
        <v>3</v>
      </c>
      <c r="DX39" s="12">
        <v>9</v>
      </c>
      <c r="DY39" s="12">
        <v>1</v>
      </c>
      <c r="DZ39" s="12">
        <v>1</v>
      </c>
      <c r="EA39" s="12">
        <v>0</v>
      </c>
      <c r="EB39" s="12">
        <v>2</v>
      </c>
      <c r="EC39" s="12">
        <v>0</v>
      </c>
      <c r="ED39" s="12">
        <v>3</v>
      </c>
      <c r="EE39" s="12">
        <v>3</v>
      </c>
      <c r="EF39" s="12">
        <v>1</v>
      </c>
      <c r="EG39" s="12">
        <v>2</v>
      </c>
      <c r="EH39" s="12">
        <v>1</v>
      </c>
      <c r="EI39" s="12">
        <v>0</v>
      </c>
      <c r="EJ39" s="12">
        <v>5</v>
      </c>
      <c r="EK39" s="12">
        <v>1</v>
      </c>
      <c r="EL39" s="12">
        <v>2</v>
      </c>
      <c r="EM39" s="12">
        <v>1</v>
      </c>
      <c r="EN39" s="12">
        <v>3</v>
      </c>
      <c r="EO39" s="12">
        <v>1</v>
      </c>
      <c r="EP39" s="12">
        <v>0</v>
      </c>
      <c r="EQ39" s="12">
        <v>4</v>
      </c>
      <c r="ER39" s="12">
        <v>2</v>
      </c>
      <c r="ES39" s="13">
        <v>4</v>
      </c>
      <c r="ET39" s="13">
        <v>5</v>
      </c>
      <c r="EU39" s="13">
        <v>0</v>
      </c>
      <c r="EV39" s="10">
        <v>0</v>
      </c>
      <c r="EW39" s="10">
        <v>0</v>
      </c>
      <c r="EX39" s="10">
        <v>8</v>
      </c>
      <c r="EY39" s="10">
        <v>7</v>
      </c>
      <c r="EZ39" s="10">
        <v>0</v>
      </c>
      <c r="FA39" s="10">
        <v>0</v>
      </c>
      <c r="FB39" s="10">
        <v>0</v>
      </c>
      <c r="FC39" s="10">
        <v>0</v>
      </c>
      <c r="FD39" s="10">
        <v>1</v>
      </c>
      <c r="FE39" s="10">
        <v>0</v>
      </c>
      <c r="FF39" s="10">
        <v>0</v>
      </c>
      <c r="FG39" s="10">
        <v>0</v>
      </c>
      <c r="FH39" s="10">
        <v>0</v>
      </c>
      <c r="FI39" s="10">
        <v>0</v>
      </c>
      <c r="FJ39" s="10">
        <v>1</v>
      </c>
      <c r="FK39" s="81">
        <v>0</v>
      </c>
      <c r="FL39" s="81">
        <v>0</v>
      </c>
      <c r="FM39" s="81">
        <v>0</v>
      </c>
      <c r="FN39" s="81">
        <v>0</v>
      </c>
      <c r="FO39" s="81">
        <v>0</v>
      </c>
      <c r="FP39" s="12">
        <v>3</v>
      </c>
      <c r="FQ39" s="12">
        <v>0</v>
      </c>
      <c r="FR39" s="12">
        <v>1</v>
      </c>
      <c r="FS39" s="12">
        <v>1</v>
      </c>
      <c r="FT39" s="12">
        <v>1</v>
      </c>
      <c r="FU39" s="12">
        <v>0</v>
      </c>
      <c r="FV39" s="12">
        <v>0</v>
      </c>
      <c r="FW39" s="12">
        <v>0</v>
      </c>
      <c r="FX39" s="12">
        <v>8</v>
      </c>
      <c r="FY39" s="12">
        <v>1</v>
      </c>
      <c r="FZ39" s="12">
        <v>1</v>
      </c>
      <c r="GA39" s="12">
        <v>3</v>
      </c>
      <c r="GB39" s="12">
        <v>1</v>
      </c>
      <c r="GC39" s="12">
        <v>0</v>
      </c>
      <c r="GD39" s="12">
        <v>0</v>
      </c>
      <c r="GE39" s="12">
        <v>1</v>
      </c>
      <c r="GF39" s="12">
        <v>0</v>
      </c>
      <c r="GG39" s="12">
        <v>0</v>
      </c>
      <c r="GH39" s="12">
        <v>0</v>
      </c>
      <c r="GI39" s="12">
        <v>0</v>
      </c>
      <c r="GJ39" s="12">
        <v>1</v>
      </c>
      <c r="GK39" s="12">
        <v>0</v>
      </c>
      <c r="GL39" s="12">
        <v>1</v>
      </c>
      <c r="GM39" s="12">
        <v>0</v>
      </c>
      <c r="GN39" s="12">
        <v>3</v>
      </c>
      <c r="GO39" s="12">
        <v>1</v>
      </c>
      <c r="GP39" s="12">
        <v>2</v>
      </c>
      <c r="GQ39" s="12">
        <v>1</v>
      </c>
      <c r="GR39" s="12">
        <v>0</v>
      </c>
      <c r="GS39" s="12">
        <v>1</v>
      </c>
      <c r="GT39" s="12">
        <v>1</v>
      </c>
      <c r="GU39" s="13">
        <v>34</v>
      </c>
      <c r="GV39" s="13">
        <v>9</v>
      </c>
      <c r="GW39" s="13">
        <v>3</v>
      </c>
      <c r="GX39" s="13">
        <v>0</v>
      </c>
      <c r="GY39" s="10">
        <v>0</v>
      </c>
      <c r="GZ39" s="10">
        <v>0</v>
      </c>
      <c r="HA39" s="10">
        <v>5</v>
      </c>
      <c r="HB39" s="10">
        <v>1</v>
      </c>
      <c r="HC39" s="10">
        <v>0</v>
      </c>
      <c r="HD39" s="10">
        <v>0</v>
      </c>
      <c r="HE39" s="10">
        <v>0</v>
      </c>
      <c r="HF39" s="10">
        <v>0</v>
      </c>
      <c r="HG39" s="10">
        <v>0</v>
      </c>
      <c r="HH39" s="10">
        <v>5</v>
      </c>
      <c r="HI39" s="10">
        <v>0</v>
      </c>
      <c r="HJ39" s="10">
        <v>0</v>
      </c>
      <c r="HK39" s="10">
        <v>1</v>
      </c>
      <c r="HL39" s="10">
        <v>0</v>
      </c>
      <c r="HM39" s="10">
        <v>0</v>
      </c>
      <c r="HN39" s="81">
        <v>0</v>
      </c>
      <c r="HO39" s="81">
        <v>7</v>
      </c>
      <c r="HP39" s="81">
        <v>1</v>
      </c>
      <c r="HQ39" s="81">
        <v>0</v>
      </c>
      <c r="HR39" s="81">
        <v>0</v>
      </c>
      <c r="HS39" s="12">
        <v>0</v>
      </c>
      <c r="HT39" s="12">
        <v>0</v>
      </c>
      <c r="HU39" s="12">
        <v>2</v>
      </c>
      <c r="HV39" s="12">
        <v>0</v>
      </c>
      <c r="HW39" s="12">
        <v>0</v>
      </c>
      <c r="HX39" s="12">
        <v>0</v>
      </c>
      <c r="HY39" s="12">
        <v>1</v>
      </c>
      <c r="HZ39" s="12">
        <v>0</v>
      </c>
      <c r="IA39" s="12">
        <v>0</v>
      </c>
      <c r="IB39" s="12">
        <v>0</v>
      </c>
      <c r="IC39" s="12">
        <v>0</v>
      </c>
      <c r="ID39" s="12">
        <v>0</v>
      </c>
      <c r="IE39" s="12">
        <v>3</v>
      </c>
      <c r="IF39" s="12">
        <v>0</v>
      </c>
      <c r="IG39" s="12">
        <v>1</v>
      </c>
      <c r="IH39" s="12">
        <v>0</v>
      </c>
      <c r="II39" s="12">
        <v>0</v>
      </c>
      <c r="IJ39" s="12">
        <v>0</v>
      </c>
      <c r="IK39" s="12">
        <v>2</v>
      </c>
      <c r="IL39" s="12">
        <v>0</v>
      </c>
      <c r="IM39" s="12">
        <v>0</v>
      </c>
      <c r="IN39" s="12">
        <v>0</v>
      </c>
      <c r="IO39" s="12">
        <v>0</v>
      </c>
      <c r="IP39" s="12">
        <v>0</v>
      </c>
      <c r="IQ39" s="12">
        <v>0</v>
      </c>
      <c r="IR39" s="12">
        <v>6</v>
      </c>
      <c r="IS39" s="12">
        <v>18</v>
      </c>
      <c r="IT39" s="12">
        <v>1</v>
      </c>
      <c r="IU39" s="12">
        <v>0</v>
      </c>
      <c r="IV39" s="12">
        <v>0</v>
      </c>
      <c r="IW39" s="12">
        <v>0</v>
      </c>
      <c r="IX39" s="11">
        <v>0</v>
      </c>
      <c r="IY39" s="11">
        <v>30000</v>
      </c>
      <c r="IZ39" s="11">
        <v>30000</v>
      </c>
      <c r="JA39" s="85" t="s">
        <v>604</v>
      </c>
      <c r="JB39" s="85" t="s">
        <v>602</v>
      </c>
      <c r="JC39" s="85">
        <v>0</v>
      </c>
      <c r="JD39" s="12">
        <v>10</v>
      </c>
      <c r="JE39" s="12">
        <v>6</v>
      </c>
      <c r="JF39" s="12">
        <v>10</v>
      </c>
      <c r="JG39" s="12">
        <v>3</v>
      </c>
      <c r="JH39" s="12">
        <v>10</v>
      </c>
      <c r="JI39" s="12">
        <v>0</v>
      </c>
      <c r="JJ39" s="13" t="s">
        <v>620</v>
      </c>
      <c r="JK39" s="13" t="s">
        <v>619</v>
      </c>
      <c r="JL39" s="13" t="s">
        <v>296</v>
      </c>
      <c r="JM39" s="89"/>
      <c r="JN39" s="89"/>
      <c r="JO39" s="89" t="s">
        <v>296</v>
      </c>
      <c r="JP39" s="89"/>
      <c r="JQ39" s="89"/>
      <c r="JR39" s="89" t="s">
        <v>296</v>
      </c>
      <c r="JS39" s="89" t="s">
        <v>619</v>
      </c>
      <c r="JT39" s="89" t="s">
        <v>619</v>
      </c>
      <c r="JU39" s="89" t="s">
        <v>296</v>
      </c>
      <c r="JV39" s="89"/>
      <c r="JW39" s="89"/>
      <c r="JX39" s="89" t="s">
        <v>296</v>
      </c>
      <c r="JY39" s="12" t="s">
        <v>619</v>
      </c>
      <c r="JZ39" s="12" t="s">
        <v>34</v>
      </c>
      <c r="KA39" s="12" t="s">
        <v>619</v>
      </c>
      <c r="KB39" s="12" t="s">
        <v>34</v>
      </c>
      <c r="KC39" s="12" t="s">
        <v>619</v>
      </c>
      <c r="KD39" s="12" t="s">
        <v>619</v>
      </c>
      <c r="KE39" s="12" t="s">
        <v>34</v>
      </c>
      <c r="KF39" s="12"/>
      <c r="KG39" s="12" t="s">
        <v>34</v>
      </c>
      <c r="KH39" s="12" t="s">
        <v>34</v>
      </c>
      <c r="KI39" s="12" t="s">
        <v>34</v>
      </c>
      <c r="KJ39" s="12" t="s">
        <v>619</v>
      </c>
      <c r="KK39" s="12" t="s">
        <v>619</v>
      </c>
      <c r="KL39" s="12" t="s">
        <v>34</v>
      </c>
      <c r="KM39" s="12" t="s">
        <v>34</v>
      </c>
      <c r="KN39" s="12" t="s">
        <v>619</v>
      </c>
      <c r="KO39" s="12" t="s">
        <v>619</v>
      </c>
      <c r="KP39" s="12" t="s">
        <v>34</v>
      </c>
      <c r="KQ39" s="12" t="s">
        <v>619</v>
      </c>
      <c r="KR39" s="12" t="s">
        <v>34</v>
      </c>
      <c r="KS39" s="12" t="s">
        <v>34</v>
      </c>
      <c r="KT39" s="12" t="s">
        <v>34</v>
      </c>
      <c r="KU39" s="12" t="s">
        <v>619</v>
      </c>
      <c r="KV39" s="12" t="s">
        <v>34</v>
      </c>
      <c r="KW39" s="12" t="s">
        <v>34</v>
      </c>
      <c r="KX39" s="12" t="s">
        <v>34</v>
      </c>
      <c r="KY39" s="12" t="s">
        <v>619</v>
      </c>
      <c r="KZ39" s="12" t="s">
        <v>34</v>
      </c>
      <c r="LA39" s="12" t="s">
        <v>34</v>
      </c>
      <c r="LB39" s="12" t="s">
        <v>619</v>
      </c>
      <c r="LC39" s="12" t="s">
        <v>619</v>
      </c>
      <c r="LD39" s="12" t="s">
        <v>619</v>
      </c>
      <c r="LE39" s="12" t="s">
        <v>619</v>
      </c>
      <c r="LF39" s="12" t="s">
        <v>34</v>
      </c>
      <c r="LG39" s="12" t="s">
        <v>34</v>
      </c>
      <c r="LH39" s="12" t="s">
        <v>619</v>
      </c>
      <c r="LI39" s="12" t="s">
        <v>34</v>
      </c>
      <c r="LJ39" s="12" t="s">
        <v>619</v>
      </c>
      <c r="LK39" s="12" t="s">
        <v>619</v>
      </c>
      <c r="LL39" s="13" t="s">
        <v>619</v>
      </c>
      <c r="LM39" s="13" t="s">
        <v>34</v>
      </c>
      <c r="LN39" s="13" t="s">
        <v>619</v>
      </c>
      <c r="LO39" s="13" t="s">
        <v>34</v>
      </c>
      <c r="LP39" s="90" t="s">
        <v>619</v>
      </c>
      <c r="LQ39" s="13" t="s">
        <v>34</v>
      </c>
      <c r="LR39" s="13" t="s">
        <v>34</v>
      </c>
      <c r="LS39" s="13"/>
      <c r="LT39" s="13" t="s">
        <v>34</v>
      </c>
      <c r="LU39" s="13" t="s">
        <v>34</v>
      </c>
      <c r="LV39" s="13" t="s">
        <v>34</v>
      </c>
      <c r="LW39" s="13" t="s">
        <v>34</v>
      </c>
      <c r="LX39" s="13" t="s">
        <v>34</v>
      </c>
      <c r="LY39" s="13" t="s">
        <v>34</v>
      </c>
      <c r="LZ39" s="13" t="s">
        <v>34</v>
      </c>
      <c r="MA39" s="13" t="s">
        <v>619</v>
      </c>
      <c r="MB39" s="13" t="s">
        <v>619</v>
      </c>
      <c r="MC39" s="13" t="s">
        <v>34</v>
      </c>
      <c r="MD39" s="13" t="s">
        <v>619</v>
      </c>
      <c r="ME39" s="13" t="s">
        <v>34</v>
      </c>
      <c r="MF39" s="13" t="s">
        <v>34</v>
      </c>
      <c r="MG39" s="13" t="s">
        <v>34</v>
      </c>
      <c r="MH39" s="13" t="s">
        <v>619</v>
      </c>
      <c r="MI39" s="13" t="s">
        <v>34</v>
      </c>
      <c r="MJ39" s="13" t="s">
        <v>34</v>
      </c>
      <c r="MK39" s="13" t="s">
        <v>34</v>
      </c>
      <c r="ML39" s="13" t="s">
        <v>34</v>
      </c>
      <c r="MM39" s="13" t="s">
        <v>34</v>
      </c>
      <c r="MN39" s="13" t="s">
        <v>34</v>
      </c>
      <c r="MO39" s="13" t="s">
        <v>619</v>
      </c>
      <c r="MP39" s="13" t="s">
        <v>34</v>
      </c>
      <c r="MQ39" s="13" t="s">
        <v>619</v>
      </c>
      <c r="MR39" s="13" t="s">
        <v>34</v>
      </c>
      <c r="MS39" s="13" t="s">
        <v>34</v>
      </c>
      <c r="MT39" s="13" t="s">
        <v>34</v>
      </c>
      <c r="MU39" s="13" t="s">
        <v>34</v>
      </c>
      <c r="MV39" s="13" t="s">
        <v>34</v>
      </c>
      <c r="MW39" s="13" t="s">
        <v>34</v>
      </c>
      <c r="MX39" s="13" t="s">
        <v>619</v>
      </c>
      <c r="MY39" s="28" t="s">
        <v>296</v>
      </c>
      <c r="MZ39" s="28" t="s">
        <v>296</v>
      </c>
      <c r="NA39" s="28" t="s">
        <v>296</v>
      </c>
      <c r="NB39" s="28" t="s">
        <v>296</v>
      </c>
      <c r="NC39" s="28" t="s">
        <v>296</v>
      </c>
      <c r="ND39" s="28" t="s">
        <v>296</v>
      </c>
      <c r="NE39" s="28" t="s">
        <v>296</v>
      </c>
      <c r="NF39" s="28" t="s">
        <v>297</v>
      </c>
      <c r="NG39" s="28" t="s">
        <v>297</v>
      </c>
      <c r="NH39" s="28" t="s">
        <v>297</v>
      </c>
      <c r="NI39" s="177" t="s">
        <v>296</v>
      </c>
      <c r="NJ39" s="177" t="s">
        <v>297</v>
      </c>
      <c r="NK39" s="177" t="s">
        <v>296</v>
      </c>
      <c r="NL39" s="177" t="s">
        <v>296</v>
      </c>
      <c r="NM39" s="177" t="s">
        <v>296</v>
      </c>
      <c r="NN39" s="177" t="s">
        <v>296</v>
      </c>
      <c r="NO39" s="177" t="s">
        <v>296</v>
      </c>
      <c r="NP39" s="177" t="s">
        <v>296</v>
      </c>
      <c r="NQ39" s="177" t="s">
        <v>296</v>
      </c>
      <c r="NR39" s="12" t="s">
        <v>34</v>
      </c>
      <c r="NS39" s="13" t="s">
        <v>34</v>
      </c>
    </row>
    <row r="40" spans="1:383" x14ac:dyDescent="0.25">
      <c r="A40" s="8" t="s">
        <v>119</v>
      </c>
      <c r="B40" s="9" t="s">
        <v>120</v>
      </c>
      <c r="C40" s="9">
        <v>84</v>
      </c>
      <c r="D40" s="9" t="s">
        <v>33</v>
      </c>
      <c r="E40" s="10">
        <v>107</v>
      </c>
      <c r="F40" s="10">
        <v>108</v>
      </c>
      <c r="G40" s="10">
        <v>106</v>
      </c>
      <c r="H40" s="10">
        <v>102</v>
      </c>
      <c r="I40" s="10">
        <v>88</v>
      </c>
      <c r="J40" s="11">
        <v>426</v>
      </c>
      <c r="K40" s="11">
        <v>427</v>
      </c>
      <c r="L40" s="11">
        <v>394</v>
      </c>
      <c r="M40" s="11">
        <v>371</v>
      </c>
      <c r="N40" s="11">
        <v>282</v>
      </c>
      <c r="O40" s="13">
        <v>4802</v>
      </c>
      <c r="P40" s="13">
        <v>4367</v>
      </c>
      <c r="Q40" s="13">
        <v>4619</v>
      </c>
      <c r="R40" s="13">
        <v>3005</v>
      </c>
      <c r="S40" s="13">
        <v>3171</v>
      </c>
      <c r="T40" s="12">
        <v>498</v>
      </c>
      <c r="U40" s="12">
        <v>455</v>
      </c>
      <c r="V40" s="12">
        <v>384</v>
      </c>
      <c r="W40" s="12">
        <v>257</v>
      </c>
      <c r="X40" s="12">
        <v>274</v>
      </c>
      <c r="Y40" s="12">
        <v>5.9</v>
      </c>
      <c r="Z40" s="12">
        <v>5.9</v>
      </c>
      <c r="AA40" s="12">
        <v>5.9</v>
      </c>
      <c r="AB40" s="13">
        <v>5.7</v>
      </c>
      <c r="AC40" s="13">
        <v>5.7</v>
      </c>
      <c r="AD40" s="13">
        <v>5.7</v>
      </c>
      <c r="AE40" s="35" t="s">
        <v>258</v>
      </c>
      <c r="AF40" s="35" t="s">
        <v>259</v>
      </c>
      <c r="AG40" s="35" t="s">
        <v>259</v>
      </c>
      <c r="AH40" s="38">
        <v>0.5</v>
      </c>
      <c r="AI40" s="38">
        <v>1</v>
      </c>
      <c r="AJ40" s="38">
        <v>1</v>
      </c>
      <c r="AK40" s="45" t="s">
        <v>288</v>
      </c>
      <c r="AL40" s="45" t="s">
        <v>34</v>
      </c>
      <c r="AM40" s="45" t="s">
        <v>34</v>
      </c>
      <c r="AN40" s="45" t="s">
        <v>34</v>
      </c>
      <c r="AO40" s="45" t="s">
        <v>34</v>
      </c>
      <c r="AP40" s="45" t="s">
        <v>34</v>
      </c>
      <c r="AQ40" s="53" t="s">
        <v>297</v>
      </c>
      <c r="AR40" s="56">
        <v>160</v>
      </c>
      <c r="AS40" s="57">
        <v>63</v>
      </c>
      <c r="AT40" s="56">
        <v>51</v>
      </c>
      <c r="AU40" s="57">
        <v>8074</v>
      </c>
      <c r="AV40" s="57">
        <v>2623</v>
      </c>
      <c r="AW40" s="57">
        <v>2410</v>
      </c>
      <c r="AX40" s="57">
        <v>29</v>
      </c>
      <c r="AY40" s="57">
        <v>15</v>
      </c>
      <c r="AZ40" s="57">
        <v>1</v>
      </c>
      <c r="BA40" s="57">
        <v>925</v>
      </c>
      <c r="BB40" s="57">
        <v>2540</v>
      </c>
      <c r="BC40" s="57">
        <v>3110</v>
      </c>
      <c r="BD40" s="57">
        <v>987</v>
      </c>
      <c r="BE40" s="57">
        <v>2434</v>
      </c>
      <c r="BF40" s="57">
        <v>1858</v>
      </c>
      <c r="BG40" s="57">
        <v>1087</v>
      </c>
      <c r="BH40" s="57">
        <v>382</v>
      </c>
      <c r="BI40" s="57">
        <v>1851</v>
      </c>
      <c r="BJ40" s="57" t="s">
        <v>297</v>
      </c>
      <c r="BK40" s="57">
        <v>26</v>
      </c>
      <c r="BL40" s="57">
        <v>5</v>
      </c>
      <c r="BM40" s="57">
        <v>0</v>
      </c>
      <c r="BN40" s="57">
        <v>150</v>
      </c>
      <c r="BO40" s="57">
        <v>0</v>
      </c>
      <c r="BP40" s="57">
        <v>200</v>
      </c>
      <c r="BQ40" s="76">
        <v>927</v>
      </c>
      <c r="BR40" s="76">
        <v>921</v>
      </c>
      <c r="BS40">
        <v>910</v>
      </c>
      <c r="BT40">
        <v>910</v>
      </c>
      <c r="BU40">
        <v>906</v>
      </c>
      <c r="BV40">
        <v>121597</v>
      </c>
      <c r="BW40">
        <v>120816</v>
      </c>
      <c r="BX40">
        <v>120205</v>
      </c>
      <c r="BY40">
        <v>119206</v>
      </c>
      <c r="BZ40">
        <v>117827</v>
      </c>
      <c r="CA40">
        <v>107</v>
      </c>
      <c r="CB40">
        <v>108</v>
      </c>
      <c r="CC40">
        <v>108</v>
      </c>
      <c r="CD40">
        <v>102</v>
      </c>
      <c r="CE40">
        <v>87</v>
      </c>
      <c r="CF40">
        <v>5300</v>
      </c>
      <c r="CG40">
        <v>4822</v>
      </c>
      <c r="CH40">
        <v>5003</v>
      </c>
      <c r="CI40">
        <v>3262</v>
      </c>
      <c r="CJ40">
        <v>3445</v>
      </c>
      <c r="CK40" s="10">
        <v>42</v>
      </c>
      <c r="CL40" s="10">
        <v>42</v>
      </c>
      <c r="CM40" s="10">
        <v>42</v>
      </c>
      <c r="CN40" s="11">
        <v>17.25</v>
      </c>
      <c r="CO40" s="11">
        <v>17.25</v>
      </c>
      <c r="CP40" s="11">
        <v>17.25</v>
      </c>
      <c r="CQ40" s="13">
        <v>12</v>
      </c>
      <c r="CR40" s="13">
        <v>11</v>
      </c>
      <c r="CS40" s="13">
        <v>1</v>
      </c>
      <c r="CT40" s="10">
        <v>0</v>
      </c>
      <c r="CU40" s="10">
        <v>0</v>
      </c>
      <c r="CV40" s="10">
        <v>23</v>
      </c>
      <c r="CW40" s="10">
        <v>0</v>
      </c>
      <c r="CX40" s="10">
        <v>46</v>
      </c>
      <c r="CY40" s="10">
        <v>0</v>
      </c>
      <c r="CZ40" s="10">
        <v>0</v>
      </c>
      <c r="DA40" s="10">
        <v>2</v>
      </c>
      <c r="DB40" s="10">
        <v>1</v>
      </c>
      <c r="DC40" s="10">
        <v>0</v>
      </c>
      <c r="DD40" s="10">
        <v>0</v>
      </c>
      <c r="DE40" s="10">
        <v>0</v>
      </c>
      <c r="DF40" s="10">
        <v>0</v>
      </c>
      <c r="DG40" s="10">
        <v>0</v>
      </c>
      <c r="DH40" s="10">
        <v>1</v>
      </c>
      <c r="DI40" s="81">
        <v>0</v>
      </c>
      <c r="DJ40" s="81">
        <v>0</v>
      </c>
      <c r="DK40" s="81">
        <v>0</v>
      </c>
      <c r="DL40" s="81">
        <v>0</v>
      </c>
      <c r="DM40" s="81">
        <v>1</v>
      </c>
      <c r="DN40" s="12">
        <v>1</v>
      </c>
      <c r="DO40" s="12">
        <v>0</v>
      </c>
      <c r="DP40" s="12">
        <v>2</v>
      </c>
      <c r="DQ40" s="12">
        <v>0</v>
      </c>
      <c r="DR40" s="12">
        <v>0</v>
      </c>
      <c r="DS40" s="12">
        <v>0</v>
      </c>
      <c r="DT40" s="12">
        <v>0</v>
      </c>
      <c r="DU40" s="12">
        <v>0</v>
      </c>
      <c r="DV40" s="12">
        <v>5</v>
      </c>
      <c r="DW40" s="12">
        <v>2</v>
      </c>
      <c r="DX40" s="12">
        <v>0</v>
      </c>
      <c r="DY40" s="12">
        <v>2</v>
      </c>
      <c r="DZ40" s="12">
        <v>0</v>
      </c>
      <c r="EA40" s="12">
        <v>0</v>
      </c>
      <c r="EB40" s="12">
        <v>1</v>
      </c>
      <c r="EC40" s="12">
        <v>0</v>
      </c>
      <c r="ED40" s="12">
        <v>0</v>
      </c>
      <c r="EE40" s="12">
        <v>0</v>
      </c>
      <c r="EF40" s="12">
        <v>11</v>
      </c>
      <c r="EG40" s="12">
        <v>0</v>
      </c>
      <c r="EH40" s="12">
        <v>0</v>
      </c>
      <c r="EI40" s="12">
        <v>0</v>
      </c>
      <c r="EJ40" s="12">
        <v>14</v>
      </c>
      <c r="EK40" s="12">
        <v>0</v>
      </c>
      <c r="EL40" s="12">
        <v>4</v>
      </c>
      <c r="EM40" s="12">
        <v>10</v>
      </c>
      <c r="EN40" s="12">
        <v>1</v>
      </c>
      <c r="EO40" s="12">
        <v>2</v>
      </c>
      <c r="EP40" s="12">
        <v>0</v>
      </c>
      <c r="EQ40" s="12">
        <v>0</v>
      </c>
      <c r="ER40" s="12">
        <v>1</v>
      </c>
      <c r="ES40" s="13">
        <v>1</v>
      </c>
      <c r="ET40" s="13">
        <v>6</v>
      </c>
      <c r="EU40" s="13">
        <v>0</v>
      </c>
      <c r="EV40" s="10">
        <v>0</v>
      </c>
      <c r="EW40" s="10">
        <v>0</v>
      </c>
      <c r="EX40" s="10">
        <v>17</v>
      </c>
      <c r="EY40" s="10">
        <v>3</v>
      </c>
      <c r="EZ40" s="10">
        <v>1</v>
      </c>
      <c r="FA40" s="10">
        <v>0</v>
      </c>
      <c r="FB40" s="10">
        <v>0</v>
      </c>
      <c r="FC40" s="10">
        <v>0</v>
      </c>
      <c r="FD40" s="10">
        <v>2</v>
      </c>
      <c r="FE40" s="10">
        <v>0</v>
      </c>
      <c r="FF40" s="10">
        <v>0</v>
      </c>
      <c r="FG40" s="10">
        <v>0</v>
      </c>
      <c r="FH40" s="10">
        <v>0</v>
      </c>
      <c r="FI40" s="10">
        <v>0</v>
      </c>
      <c r="FJ40" s="10">
        <v>0</v>
      </c>
      <c r="FK40" s="81">
        <v>0</v>
      </c>
      <c r="FL40" s="81">
        <v>0</v>
      </c>
      <c r="FM40" s="81">
        <v>0</v>
      </c>
      <c r="FN40" s="81">
        <v>0</v>
      </c>
      <c r="FO40" s="81">
        <v>0</v>
      </c>
      <c r="FP40" s="12">
        <v>1</v>
      </c>
      <c r="FQ40" s="12">
        <v>0</v>
      </c>
      <c r="FR40" s="12">
        <v>1</v>
      </c>
      <c r="FS40" s="12">
        <v>0</v>
      </c>
      <c r="FT40" s="12">
        <v>0</v>
      </c>
      <c r="FU40" s="12">
        <v>0</v>
      </c>
      <c r="FV40" s="12">
        <v>0</v>
      </c>
      <c r="FW40" s="12">
        <v>0</v>
      </c>
      <c r="FX40" s="12">
        <v>0</v>
      </c>
      <c r="FY40" s="12">
        <v>1</v>
      </c>
      <c r="FZ40" s="12">
        <v>0</v>
      </c>
      <c r="GA40" s="12">
        <v>2</v>
      </c>
      <c r="GB40" s="12">
        <v>0</v>
      </c>
      <c r="GC40" s="12">
        <v>0</v>
      </c>
      <c r="GD40" s="12">
        <v>0</v>
      </c>
      <c r="GE40" s="12">
        <v>0</v>
      </c>
      <c r="GF40" s="12">
        <v>0</v>
      </c>
      <c r="GG40" s="12">
        <v>1</v>
      </c>
      <c r="GH40" s="12">
        <v>1</v>
      </c>
      <c r="GI40" s="12">
        <v>0</v>
      </c>
      <c r="GJ40" s="12">
        <v>0</v>
      </c>
      <c r="GK40" s="12">
        <v>0</v>
      </c>
      <c r="GL40" s="12">
        <v>0</v>
      </c>
      <c r="GM40" s="12">
        <v>0</v>
      </c>
      <c r="GN40" s="12">
        <v>2</v>
      </c>
      <c r="GO40" s="12">
        <v>0</v>
      </c>
      <c r="GP40" s="12">
        <v>0</v>
      </c>
      <c r="GQ40" s="12">
        <v>2</v>
      </c>
      <c r="GR40" s="12">
        <v>0</v>
      </c>
      <c r="GS40" s="12">
        <v>2</v>
      </c>
      <c r="GT40" s="12">
        <v>0</v>
      </c>
      <c r="GU40" s="13">
        <v>63</v>
      </c>
      <c r="GV40" s="13">
        <v>0</v>
      </c>
      <c r="GW40" s="13">
        <v>0</v>
      </c>
      <c r="GX40" s="13">
        <v>0</v>
      </c>
      <c r="GY40" s="10">
        <v>0</v>
      </c>
      <c r="GZ40" s="10">
        <v>0</v>
      </c>
      <c r="HA40" s="10">
        <v>12</v>
      </c>
      <c r="HB40" s="10">
        <v>0</v>
      </c>
      <c r="HC40" s="10">
        <v>33</v>
      </c>
      <c r="HD40" s="10">
        <v>0</v>
      </c>
      <c r="HE40" s="10">
        <v>0</v>
      </c>
      <c r="HF40" s="10">
        <v>0</v>
      </c>
      <c r="HG40" s="10">
        <v>0</v>
      </c>
      <c r="HH40" s="10">
        <v>0</v>
      </c>
      <c r="HI40" s="10">
        <v>0</v>
      </c>
      <c r="HJ40" s="10">
        <v>0</v>
      </c>
      <c r="HK40" s="10">
        <v>0</v>
      </c>
      <c r="HL40" s="10">
        <v>0</v>
      </c>
      <c r="HM40" s="10">
        <v>0</v>
      </c>
      <c r="HN40" s="81">
        <v>0</v>
      </c>
      <c r="HO40" s="81">
        <v>0</v>
      </c>
      <c r="HP40" s="81">
        <v>0</v>
      </c>
      <c r="HQ40" s="81">
        <v>0</v>
      </c>
      <c r="HR40" s="81">
        <v>0</v>
      </c>
      <c r="HS40" s="12">
        <v>0</v>
      </c>
      <c r="HT40" s="12">
        <v>0</v>
      </c>
      <c r="HU40" s="12">
        <v>0</v>
      </c>
      <c r="HV40" s="12">
        <v>0</v>
      </c>
      <c r="HW40" s="12">
        <v>0</v>
      </c>
      <c r="HX40" s="12">
        <v>0</v>
      </c>
      <c r="HY40" s="12">
        <v>0</v>
      </c>
      <c r="HZ40" s="12">
        <v>0</v>
      </c>
      <c r="IA40" s="12">
        <v>0</v>
      </c>
      <c r="IB40" s="12">
        <v>0</v>
      </c>
      <c r="IC40" s="12">
        <v>0</v>
      </c>
      <c r="ID40" s="12">
        <v>0</v>
      </c>
      <c r="IE40" s="12">
        <v>0</v>
      </c>
      <c r="IF40" s="12">
        <v>0</v>
      </c>
      <c r="IG40" s="12">
        <v>0</v>
      </c>
      <c r="IH40" s="12">
        <v>0</v>
      </c>
      <c r="II40" s="12">
        <v>0</v>
      </c>
      <c r="IJ40" s="12">
        <v>0</v>
      </c>
      <c r="IK40" s="12">
        <v>0</v>
      </c>
      <c r="IL40" s="12">
        <v>0</v>
      </c>
      <c r="IM40" s="12">
        <v>0</v>
      </c>
      <c r="IN40" s="12">
        <v>0</v>
      </c>
      <c r="IO40" s="12">
        <v>0</v>
      </c>
      <c r="IP40" s="12">
        <v>0</v>
      </c>
      <c r="IQ40" s="12">
        <v>0</v>
      </c>
      <c r="IR40" s="12">
        <v>0</v>
      </c>
      <c r="IS40" s="12">
        <v>0</v>
      </c>
      <c r="IT40" s="12">
        <v>0</v>
      </c>
      <c r="IU40" s="12">
        <v>0</v>
      </c>
      <c r="IV40" s="12">
        <v>0</v>
      </c>
      <c r="IW40" s="12">
        <v>0</v>
      </c>
      <c r="IX40" s="11">
        <v>7000</v>
      </c>
      <c r="IY40" s="11">
        <v>7880</v>
      </c>
      <c r="IZ40" s="11">
        <v>5600</v>
      </c>
      <c r="JA40" s="85">
        <v>0</v>
      </c>
      <c r="JB40" s="85">
        <v>0</v>
      </c>
      <c r="JC40" s="85">
        <v>0</v>
      </c>
      <c r="JD40" s="12">
        <v>24</v>
      </c>
      <c r="JE40" s="12">
        <v>0</v>
      </c>
      <c r="JF40" s="12">
        <v>21</v>
      </c>
      <c r="JG40" s="12">
        <v>8</v>
      </c>
      <c r="JH40" s="12">
        <v>21</v>
      </c>
      <c r="JI40" s="12">
        <v>3</v>
      </c>
      <c r="JJ40" s="13" t="s">
        <v>619</v>
      </c>
      <c r="JK40" s="13" t="s">
        <v>620</v>
      </c>
      <c r="JL40" s="13" t="s">
        <v>296</v>
      </c>
      <c r="JM40" s="89"/>
      <c r="JN40" s="89"/>
      <c r="JO40" s="89" t="s">
        <v>296</v>
      </c>
      <c r="JP40" s="89"/>
      <c r="JQ40" s="89"/>
      <c r="JR40" s="89" t="s">
        <v>297</v>
      </c>
      <c r="JS40" s="89" t="s">
        <v>620</v>
      </c>
      <c r="JT40" s="89" t="s">
        <v>619</v>
      </c>
      <c r="JU40" s="89" t="s">
        <v>296</v>
      </c>
      <c r="JV40" s="89"/>
      <c r="JW40" s="89"/>
      <c r="JX40" s="89" t="s">
        <v>296</v>
      </c>
      <c r="JY40" s="12" t="s">
        <v>34</v>
      </c>
      <c r="JZ40" s="12" t="s">
        <v>34</v>
      </c>
      <c r="KA40" s="12" t="s">
        <v>34</v>
      </c>
      <c r="KB40" s="12" t="s">
        <v>34</v>
      </c>
      <c r="KC40" s="12" t="s">
        <v>34</v>
      </c>
      <c r="KD40" s="12" t="s">
        <v>34</v>
      </c>
      <c r="KE40" s="12" t="s">
        <v>34</v>
      </c>
      <c r="KF40" s="12"/>
      <c r="KG40" s="12" t="s">
        <v>34</v>
      </c>
      <c r="KH40" s="12" t="s">
        <v>34</v>
      </c>
      <c r="KI40" s="12" t="s">
        <v>34</v>
      </c>
      <c r="KJ40" s="12" t="s">
        <v>619</v>
      </c>
      <c r="KK40" s="12" t="s">
        <v>34</v>
      </c>
      <c r="KL40" s="12" t="s">
        <v>34</v>
      </c>
      <c r="KM40" s="12" t="s">
        <v>34</v>
      </c>
      <c r="KN40" s="12" t="s">
        <v>619</v>
      </c>
      <c r="KO40" s="12" t="s">
        <v>34</v>
      </c>
      <c r="KP40" s="12" t="s">
        <v>34</v>
      </c>
      <c r="KQ40" s="12" t="s">
        <v>34</v>
      </c>
      <c r="KR40" s="12" t="s">
        <v>34</v>
      </c>
      <c r="KS40" s="12" t="s">
        <v>34</v>
      </c>
      <c r="KT40" s="12" t="s">
        <v>34</v>
      </c>
      <c r="KU40" s="12" t="s">
        <v>34</v>
      </c>
      <c r="KV40" s="12" t="s">
        <v>34</v>
      </c>
      <c r="KW40" s="12" t="s">
        <v>34</v>
      </c>
      <c r="KX40" s="12" t="s">
        <v>34</v>
      </c>
      <c r="KY40" s="12" t="s">
        <v>34</v>
      </c>
      <c r="KZ40" s="12" t="s">
        <v>34</v>
      </c>
      <c r="LA40" s="12" t="s">
        <v>34</v>
      </c>
      <c r="LB40" s="12" t="s">
        <v>619</v>
      </c>
      <c r="LC40" s="12" t="s">
        <v>34</v>
      </c>
      <c r="LD40" s="12" t="s">
        <v>34</v>
      </c>
      <c r="LE40" s="12" t="s">
        <v>34</v>
      </c>
      <c r="LF40" s="12" t="s">
        <v>34</v>
      </c>
      <c r="LG40" s="12" t="s">
        <v>34</v>
      </c>
      <c r="LH40" s="12" t="s">
        <v>34</v>
      </c>
      <c r="LI40" s="12" t="s">
        <v>34</v>
      </c>
      <c r="LJ40" s="12" t="s">
        <v>619</v>
      </c>
      <c r="LK40" s="12" t="s">
        <v>34</v>
      </c>
      <c r="LL40" s="13" t="s">
        <v>619</v>
      </c>
      <c r="LM40" s="13" t="s">
        <v>34</v>
      </c>
      <c r="LN40" s="13" t="s">
        <v>619</v>
      </c>
      <c r="LO40" s="13" t="s">
        <v>34</v>
      </c>
      <c r="LP40" s="90" t="s">
        <v>619</v>
      </c>
      <c r="LQ40" s="13" t="s">
        <v>34</v>
      </c>
      <c r="LR40" s="13" t="s">
        <v>34</v>
      </c>
      <c r="LS40" s="13"/>
      <c r="LT40" s="13" t="s">
        <v>619</v>
      </c>
      <c r="LU40" s="13" t="s">
        <v>34</v>
      </c>
      <c r="LV40" s="13" t="s">
        <v>34</v>
      </c>
      <c r="LW40" s="13" t="s">
        <v>619</v>
      </c>
      <c r="LX40" s="13" t="s">
        <v>34</v>
      </c>
      <c r="LY40" s="13" t="s">
        <v>34</v>
      </c>
      <c r="LZ40" s="13" t="s">
        <v>619</v>
      </c>
      <c r="MA40" s="13" t="s">
        <v>619</v>
      </c>
      <c r="MB40" s="13" t="s">
        <v>34</v>
      </c>
      <c r="MC40" s="13" t="s">
        <v>34</v>
      </c>
      <c r="MD40" s="13" t="s">
        <v>34</v>
      </c>
      <c r="ME40" s="13" t="s">
        <v>34</v>
      </c>
      <c r="MF40" s="13" t="s">
        <v>34</v>
      </c>
      <c r="MG40" s="13" t="s">
        <v>34</v>
      </c>
      <c r="MH40" s="13" t="s">
        <v>34</v>
      </c>
      <c r="MI40" s="13" t="s">
        <v>34</v>
      </c>
      <c r="MJ40" s="13" t="s">
        <v>34</v>
      </c>
      <c r="MK40" s="13" t="s">
        <v>34</v>
      </c>
      <c r="ML40" s="13" t="s">
        <v>34</v>
      </c>
      <c r="MM40" s="13" t="s">
        <v>34</v>
      </c>
      <c r="MN40" s="13" t="s">
        <v>34</v>
      </c>
      <c r="MO40" s="13" t="s">
        <v>619</v>
      </c>
      <c r="MP40" s="13" t="s">
        <v>34</v>
      </c>
      <c r="MQ40" s="13" t="s">
        <v>34</v>
      </c>
      <c r="MR40" s="13" t="s">
        <v>34</v>
      </c>
      <c r="MS40" s="13" t="s">
        <v>34</v>
      </c>
      <c r="MT40" s="13" t="s">
        <v>34</v>
      </c>
      <c r="MU40" s="13" t="s">
        <v>34</v>
      </c>
      <c r="MV40" s="13" t="s">
        <v>34</v>
      </c>
      <c r="MW40" s="13" t="s">
        <v>34</v>
      </c>
      <c r="MX40" s="13" t="s">
        <v>34</v>
      </c>
      <c r="MY40" s="28" t="s">
        <v>296</v>
      </c>
      <c r="MZ40" s="28" t="s">
        <v>296</v>
      </c>
      <c r="NA40" s="28" t="s">
        <v>296</v>
      </c>
      <c r="NB40" s="28" t="s">
        <v>297</v>
      </c>
      <c r="NC40" s="28" t="s">
        <v>296</v>
      </c>
      <c r="ND40" s="28" t="s">
        <v>296</v>
      </c>
      <c r="NE40" s="28" t="s">
        <v>296</v>
      </c>
      <c r="NF40" s="28" t="s">
        <v>296</v>
      </c>
      <c r="NG40" s="28" t="s">
        <v>297</v>
      </c>
      <c r="NH40" s="28" t="s">
        <v>297</v>
      </c>
      <c r="NI40" s="177" t="s">
        <v>296</v>
      </c>
      <c r="NJ40" s="177" t="s">
        <v>297</v>
      </c>
      <c r="NK40" s="177" t="s">
        <v>296</v>
      </c>
      <c r="NL40" s="177" t="s">
        <v>297</v>
      </c>
      <c r="NM40" s="177" t="s">
        <v>296</v>
      </c>
      <c r="NN40" s="177" t="s">
        <v>296</v>
      </c>
      <c r="NO40" s="177" t="s">
        <v>296</v>
      </c>
      <c r="NP40" s="177" t="s">
        <v>296</v>
      </c>
      <c r="NQ40" s="177" t="s">
        <v>296</v>
      </c>
      <c r="NR40" s="12" t="s">
        <v>34</v>
      </c>
      <c r="NS40" s="13" t="s">
        <v>34</v>
      </c>
    </row>
    <row r="41" spans="1:383" x14ac:dyDescent="0.25">
      <c r="A41" s="8" t="s">
        <v>121</v>
      </c>
      <c r="B41" s="9" t="s">
        <v>122</v>
      </c>
      <c r="C41" s="9">
        <v>27</v>
      </c>
      <c r="D41" s="9" t="s">
        <v>80</v>
      </c>
      <c r="E41" s="10">
        <v>61</v>
      </c>
      <c r="F41" s="10">
        <v>60</v>
      </c>
      <c r="G41" s="10">
        <v>59</v>
      </c>
      <c r="H41" s="10">
        <v>62</v>
      </c>
      <c r="I41" s="10">
        <v>51</v>
      </c>
      <c r="J41" s="11">
        <v>423</v>
      </c>
      <c r="K41" s="11">
        <v>439</v>
      </c>
      <c r="L41" s="11">
        <v>373</v>
      </c>
      <c r="M41" s="11">
        <v>390</v>
      </c>
      <c r="N41" s="11">
        <v>283</v>
      </c>
      <c r="O41" s="13">
        <v>4954</v>
      </c>
      <c r="P41" s="13">
        <v>4679</v>
      </c>
      <c r="Q41" s="13">
        <v>4760</v>
      </c>
      <c r="R41" s="13">
        <v>4560</v>
      </c>
      <c r="S41" s="13">
        <v>3710</v>
      </c>
      <c r="T41" s="12">
        <v>1755</v>
      </c>
      <c r="U41" s="12">
        <v>1832</v>
      </c>
      <c r="V41" s="12">
        <v>1268</v>
      </c>
      <c r="W41" s="12">
        <v>1416</v>
      </c>
      <c r="X41" s="12">
        <v>745</v>
      </c>
      <c r="Y41" s="12">
        <v>5.9</v>
      </c>
      <c r="Z41" s="12">
        <v>5.9</v>
      </c>
      <c r="AA41" s="12">
        <v>5.9</v>
      </c>
      <c r="AB41" s="13">
        <v>5.55</v>
      </c>
      <c r="AC41" s="13">
        <v>5.55</v>
      </c>
      <c r="AD41" s="13">
        <v>5.55</v>
      </c>
      <c r="AE41" s="35" t="s">
        <v>259</v>
      </c>
      <c r="AF41" s="35" t="s">
        <v>259</v>
      </c>
      <c r="AG41" s="35" t="s">
        <v>259</v>
      </c>
      <c r="AH41" s="38">
        <v>0.5</v>
      </c>
      <c r="AI41" s="38">
        <v>0.5</v>
      </c>
      <c r="AJ41" s="38">
        <v>0.5</v>
      </c>
      <c r="AK41" s="45" t="s">
        <v>34</v>
      </c>
      <c r="AL41" s="45" t="s">
        <v>34</v>
      </c>
      <c r="AM41" s="45" t="s">
        <v>34</v>
      </c>
      <c r="AN41" s="45" t="s">
        <v>34</v>
      </c>
      <c r="AO41" s="45" t="s">
        <v>34</v>
      </c>
      <c r="AP41" s="45" t="s">
        <v>34</v>
      </c>
      <c r="AQ41" s="53" t="s">
        <v>297</v>
      </c>
      <c r="AR41" s="56">
        <v>100</v>
      </c>
      <c r="AS41" s="57">
        <v>40</v>
      </c>
      <c r="AT41" s="56">
        <v>24</v>
      </c>
      <c r="AU41" s="57">
        <v>15712</v>
      </c>
      <c r="AV41" s="57">
        <v>6094</v>
      </c>
      <c r="AW41" s="57">
        <v>2453</v>
      </c>
      <c r="AX41" s="57">
        <v>4</v>
      </c>
      <c r="AY41" s="57">
        <v>2</v>
      </c>
      <c r="AZ41" s="57">
        <v>0</v>
      </c>
      <c r="BA41" s="57">
        <v>1505</v>
      </c>
      <c r="BB41" s="57">
        <v>3532</v>
      </c>
      <c r="BC41" s="57">
        <v>3080</v>
      </c>
      <c r="BD41" s="57">
        <v>742</v>
      </c>
      <c r="BE41" s="57">
        <v>1357</v>
      </c>
      <c r="BF41" s="57">
        <v>1681</v>
      </c>
      <c r="BG41" s="57">
        <v>0</v>
      </c>
      <c r="BH41" s="57">
        <v>386</v>
      </c>
      <c r="BI41" s="57">
        <v>225</v>
      </c>
      <c r="BJ41" s="57" t="s">
        <v>297</v>
      </c>
      <c r="BK41" s="57">
        <v>6</v>
      </c>
      <c r="BL41" s="57">
        <v>0</v>
      </c>
      <c r="BM41" s="57">
        <v>0</v>
      </c>
      <c r="BN41" s="57">
        <v>0</v>
      </c>
      <c r="BO41" s="57">
        <v>0</v>
      </c>
      <c r="BP41" s="57">
        <v>138</v>
      </c>
      <c r="BQ41" s="76">
        <v>260</v>
      </c>
      <c r="BR41" s="76">
        <v>258</v>
      </c>
      <c r="BS41">
        <v>245</v>
      </c>
      <c r="BT41">
        <v>245</v>
      </c>
      <c r="BU41">
        <v>240</v>
      </c>
      <c r="BV41">
        <v>21763</v>
      </c>
      <c r="BW41">
        <v>21194</v>
      </c>
      <c r="BX41">
        <v>20798</v>
      </c>
      <c r="BY41">
        <v>20535</v>
      </c>
      <c r="BZ41">
        <v>20096</v>
      </c>
      <c r="CA41">
        <v>106</v>
      </c>
      <c r="CB41">
        <v>106</v>
      </c>
      <c r="CC41">
        <v>100</v>
      </c>
      <c r="CD41">
        <v>94</v>
      </c>
      <c r="CE41">
        <v>57</v>
      </c>
      <c r="CF41">
        <v>6709</v>
      </c>
      <c r="CG41">
        <v>6511</v>
      </c>
      <c r="CH41">
        <v>6028</v>
      </c>
      <c r="CI41">
        <v>5976</v>
      </c>
      <c r="CJ41">
        <v>4455</v>
      </c>
      <c r="CK41" s="10">
        <v>28</v>
      </c>
      <c r="CL41" s="10">
        <v>28</v>
      </c>
      <c r="CM41" s="10">
        <v>28</v>
      </c>
      <c r="CN41" s="11">
        <v>16</v>
      </c>
      <c r="CO41" s="11">
        <v>16</v>
      </c>
      <c r="CP41" s="11">
        <v>16</v>
      </c>
      <c r="CQ41" s="13">
        <v>10</v>
      </c>
      <c r="CR41" s="13">
        <v>16</v>
      </c>
      <c r="CS41" s="13">
        <v>0</v>
      </c>
      <c r="CT41" s="10">
        <v>0</v>
      </c>
      <c r="CU41" s="10">
        <v>0</v>
      </c>
      <c r="CV41" s="10">
        <v>4</v>
      </c>
      <c r="CW41" s="10">
        <v>9</v>
      </c>
      <c r="CX41" s="10">
        <v>2</v>
      </c>
      <c r="CY41" s="10">
        <v>0</v>
      </c>
      <c r="CZ41" s="10">
        <v>0</v>
      </c>
      <c r="DA41" s="10">
        <v>1</v>
      </c>
      <c r="DB41" s="10">
        <v>0</v>
      </c>
      <c r="DC41" s="10">
        <v>0</v>
      </c>
      <c r="DD41" s="10">
        <v>0</v>
      </c>
      <c r="DE41" s="10">
        <v>0</v>
      </c>
      <c r="DF41" s="10">
        <v>2</v>
      </c>
      <c r="DG41" s="10">
        <v>0</v>
      </c>
      <c r="DH41" s="10">
        <v>4</v>
      </c>
      <c r="DI41" s="81">
        <v>4</v>
      </c>
      <c r="DJ41" s="81">
        <v>0</v>
      </c>
      <c r="DK41" s="81">
        <v>6</v>
      </c>
      <c r="DL41" s="81">
        <v>0</v>
      </c>
      <c r="DM41" s="81">
        <v>6</v>
      </c>
      <c r="DN41" s="12">
        <v>2</v>
      </c>
      <c r="DO41" s="12">
        <v>0</v>
      </c>
      <c r="DP41" s="12">
        <v>6</v>
      </c>
      <c r="DQ41" s="12">
        <v>0</v>
      </c>
      <c r="DR41" s="12">
        <v>0</v>
      </c>
      <c r="DS41" s="12">
        <v>0</v>
      </c>
      <c r="DT41" s="12">
        <v>0</v>
      </c>
      <c r="DU41" s="12">
        <v>0</v>
      </c>
      <c r="DV41" s="12">
        <v>2</v>
      </c>
      <c r="DW41" s="12">
        <v>3</v>
      </c>
      <c r="DX41" s="12">
        <v>1</v>
      </c>
      <c r="DY41" s="12">
        <v>3</v>
      </c>
      <c r="DZ41" s="12">
        <v>0</v>
      </c>
      <c r="EA41" s="12">
        <v>0</v>
      </c>
      <c r="EB41" s="12">
        <v>3</v>
      </c>
      <c r="EC41" s="12">
        <v>0</v>
      </c>
      <c r="ED41" s="12">
        <v>12</v>
      </c>
      <c r="EE41" s="12">
        <v>0</v>
      </c>
      <c r="EF41" s="12">
        <v>1</v>
      </c>
      <c r="EG41" s="12">
        <v>0</v>
      </c>
      <c r="EH41" s="12">
        <v>0</v>
      </c>
      <c r="EI41" s="12">
        <v>0</v>
      </c>
      <c r="EJ41" s="12">
        <v>0</v>
      </c>
      <c r="EK41" s="12">
        <v>0</v>
      </c>
      <c r="EL41" s="12">
        <v>1</v>
      </c>
      <c r="EM41" s="12">
        <v>0</v>
      </c>
      <c r="EN41" s="12">
        <v>0</v>
      </c>
      <c r="EO41" s="12">
        <v>0</v>
      </c>
      <c r="EP41" s="12">
        <v>0</v>
      </c>
      <c r="EQ41" s="12">
        <v>1</v>
      </c>
      <c r="ER41" s="12">
        <v>0</v>
      </c>
      <c r="ES41" s="13">
        <v>4</v>
      </c>
      <c r="ET41" s="13">
        <v>2</v>
      </c>
      <c r="EU41" s="13">
        <v>0</v>
      </c>
      <c r="EV41" s="10">
        <v>0</v>
      </c>
      <c r="EW41" s="10">
        <v>0</v>
      </c>
      <c r="EX41" s="10">
        <v>0</v>
      </c>
      <c r="EY41" s="10">
        <v>0</v>
      </c>
      <c r="EZ41" s="10">
        <v>0</v>
      </c>
      <c r="FA41" s="10">
        <v>0</v>
      </c>
      <c r="FB41" s="10">
        <v>0</v>
      </c>
      <c r="FC41" s="10">
        <v>5</v>
      </c>
      <c r="FD41" s="10">
        <v>0</v>
      </c>
      <c r="FE41" s="10">
        <v>0</v>
      </c>
      <c r="FF41" s="10">
        <v>0</v>
      </c>
      <c r="FG41" s="10">
        <v>0</v>
      </c>
      <c r="FH41" s="10">
        <v>0</v>
      </c>
      <c r="FI41" s="10">
        <v>0</v>
      </c>
      <c r="FJ41" s="10">
        <v>0</v>
      </c>
      <c r="FK41" s="81">
        <v>1</v>
      </c>
      <c r="FL41" s="81">
        <v>0</v>
      </c>
      <c r="FM41" s="81">
        <v>3</v>
      </c>
      <c r="FN41" s="81">
        <v>0</v>
      </c>
      <c r="FO41" s="81">
        <v>4</v>
      </c>
      <c r="FP41" s="12">
        <v>1</v>
      </c>
      <c r="FQ41" s="12">
        <v>0</v>
      </c>
      <c r="FR41" s="12">
        <v>0</v>
      </c>
      <c r="FS41" s="12">
        <v>0</v>
      </c>
      <c r="FT41" s="12">
        <v>0</v>
      </c>
      <c r="FU41" s="12">
        <v>0</v>
      </c>
      <c r="FV41" s="12">
        <v>1</v>
      </c>
      <c r="FW41" s="12">
        <v>0</v>
      </c>
      <c r="FX41" s="12">
        <v>7</v>
      </c>
      <c r="FY41" s="12">
        <v>0</v>
      </c>
      <c r="FZ41" s="12">
        <v>0</v>
      </c>
      <c r="GA41" s="12">
        <v>2</v>
      </c>
      <c r="GB41" s="12">
        <v>1</v>
      </c>
      <c r="GC41" s="12">
        <v>0</v>
      </c>
      <c r="GD41" s="12">
        <v>4</v>
      </c>
      <c r="GE41" s="12">
        <v>0</v>
      </c>
      <c r="GF41" s="12">
        <v>0</v>
      </c>
      <c r="GG41" s="12">
        <v>0</v>
      </c>
      <c r="GH41" s="12">
        <v>0</v>
      </c>
      <c r="GI41" s="12">
        <v>0</v>
      </c>
      <c r="GJ41" s="12">
        <v>0</v>
      </c>
      <c r="GK41" s="12">
        <v>0</v>
      </c>
      <c r="GL41" s="12">
        <v>0</v>
      </c>
      <c r="GM41" s="12">
        <v>0</v>
      </c>
      <c r="GN41" s="12">
        <v>0</v>
      </c>
      <c r="GO41" s="12">
        <v>0</v>
      </c>
      <c r="GP41" s="12">
        <v>0</v>
      </c>
      <c r="GQ41" s="12">
        <v>0</v>
      </c>
      <c r="GR41" s="12">
        <v>0</v>
      </c>
      <c r="GS41" s="12">
        <v>0</v>
      </c>
      <c r="GT41" s="12">
        <v>0</v>
      </c>
      <c r="GU41" s="13">
        <v>40</v>
      </c>
      <c r="GV41" s="13">
        <v>9</v>
      </c>
      <c r="GW41" s="13">
        <v>0</v>
      </c>
      <c r="GX41" s="13">
        <v>0</v>
      </c>
      <c r="GY41" s="10">
        <v>0</v>
      </c>
      <c r="GZ41" s="10">
        <v>0</v>
      </c>
      <c r="HA41" s="10">
        <v>3</v>
      </c>
      <c r="HB41" s="10">
        <v>10</v>
      </c>
      <c r="HC41" s="10">
        <v>0</v>
      </c>
      <c r="HD41" s="10">
        <v>0</v>
      </c>
      <c r="HE41" s="10">
        <v>0</v>
      </c>
      <c r="HF41" s="10">
        <v>0</v>
      </c>
      <c r="HG41" s="10">
        <v>0</v>
      </c>
      <c r="HH41" s="10">
        <v>0</v>
      </c>
      <c r="HI41" s="10">
        <v>0</v>
      </c>
      <c r="HJ41" s="10">
        <v>0</v>
      </c>
      <c r="HK41" s="10">
        <v>0</v>
      </c>
      <c r="HL41" s="10">
        <v>0</v>
      </c>
      <c r="HM41" s="10">
        <v>0</v>
      </c>
      <c r="HN41" s="81">
        <v>0</v>
      </c>
      <c r="HO41" s="81">
        <v>0</v>
      </c>
      <c r="HP41" s="81">
        <v>0</v>
      </c>
      <c r="HQ41" s="81">
        <v>0</v>
      </c>
      <c r="HR41" s="81">
        <v>0</v>
      </c>
      <c r="HS41" s="12">
        <v>0</v>
      </c>
      <c r="HT41" s="12">
        <v>0</v>
      </c>
      <c r="HU41" s="12">
        <v>0</v>
      </c>
      <c r="HV41" s="12">
        <v>0</v>
      </c>
      <c r="HW41" s="12">
        <v>0</v>
      </c>
      <c r="HX41" s="12">
        <v>0</v>
      </c>
      <c r="HY41" s="12">
        <v>0</v>
      </c>
      <c r="HZ41" s="12">
        <v>0</v>
      </c>
      <c r="IA41" s="12">
        <v>0</v>
      </c>
      <c r="IB41" s="12">
        <v>1</v>
      </c>
      <c r="IC41" s="12">
        <v>0</v>
      </c>
      <c r="ID41" s="12">
        <v>0</v>
      </c>
      <c r="IE41" s="12">
        <v>0</v>
      </c>
      <c r="IF41" s="12">
        <v>0</v>
      </c>
      <c r="IG41" s="12">
        <v>1</v>
      </c>
      <c r="IH41" s="12">
        <v>0</v>
      </c>
      <c r="II41" s="12">
        <v>4</v>
      </c>
      <c r="IJ41" s="12">
        <v>0</v>
      </c>
      <c r="IK41" s="12">
        <v>0</v>
      </c>
      <c r="IL41" s="12">
        <v>0</v>
      </c>
      <c r="IM41" s="12">
        <v>0</v>
      </c>
      <c r="IN41" s="12">
        <v>0</v>
      </c>
      <c r="IO41" s="12">
        <v>0</v>
      </c>
      <c r="IP41" s="12">
        <v>0</v>
      </c>
      <c r="IQ41" s="12">
        <v>0</v>
      </c>
      <c r="IR41" s="12">
        <v>0</v>
      </c>
      <c r="IS41" s="12">
        <v>0</v>
      </c>
      <c r="IT41" s="12">
        <v>0</v>
      </c>
      <c r="IU41" s="12">
        <v>0</v>
      </c>
      <c r="IV41" s="12">
        <v>0</v>
      </c>
      <c r="IW41" s="12">
        <v>0</v>
      </c>
      <c r="IX41" s="11">
        <v>18113</v>
      </c>
      <c r="IY41" s="11">
        <v>18103</v>
      </c>
      <c r="IZ41" s="11">
        <v>15226</v>
      </c>
      <c r="JA41" s="85">
        <v>1</v>
      </c>
      <c r="JB41" s="85">
        <v>0</v>
      </c>
      <c r="JC41" s="85">
        <v>0</v>
      </c>
      <c r="JD41" s="12">
        <v>6</v>
      </c>
      <c r="JE41" s="12">
        <v>2</v>
      </c>
      <c r="JF41" s="12">
        <v>6</v>
      </c>
      <c r="JG41" s="12">
        <v>0</v>
      </c>
      <c r="JH41" s="12">
        <v>6</v>
      </c>
      <c r="JI41" s="12">
        <v>0</v>
      </c>
      <c r="JJ41" s="13" t="s">
        <v>620</v>
      </c>
      <c r="JK41" s="13" t="s">
        <v>619</v>
      </c>
      <c r="JL41" s="13" t="s">
        <v>296</v>
      </c>
      <c r="JM41" s="89"/>
      <c r="JN41" s="89"/>
      <c r="JO41" s="89" t="s">
        <v>297</v>
      </c>
      <c r="JP41" s="89"/>
      <c r="JQ41" s="89"/>
      <c r="JR41" s="89" t="s">
        <v>297</v>
      </c>
      <c r="JS41" s="89" t="s">
        <v>620</v>
      </c>
      <c r="JT41" s="89" t="s">
        <v>620</v>
      </c>
      <c r="JU41" s="89" t="s">
        <v>296</v>
      </c>
      <c r="JV41" s="89"/>
      <c r="JW41" s="89"/>
      <c r="JX41" s="89" t="s">
        <v>297</v>
      </c>
      <c r="JY41" s="12" t="s">
        <v>34</v>
      </c>
      <c r="JZ41" s="12" t="s">
        <v>34</v>
      </c>
      <c r="KA41" s="12" t="s">
        <v>34</v>
      </c>
      <c r="KB41" s="12" t="s">
        <v>34</v>
      </c>
      <c r="KC41" s="12" t="s">
        <v>34</v>
      </c>
      <c r="KD41" s="12" t="s">
        <v>34</v>
      </c>
      <c r="KE41" s="12" t="s">
        <v>34</v>
      </c>
      <c r="KF41" s="12"/>
      <c r="KG41" s="12" t="s">
        <v>34</v>
      </c>
      <c r="KH41" s="12" t="s">
        <v>34</v>
      </c>
      <c r="KI41" s="12" t="s">
        <v>34</v>
      </c>
      <c r="KJ41" s="12" t="s">
        <v>34</v>
      </c>
      <c r="KK41" s="12" t="s">
        <v>34</v>
      </c>
      <c r="KL41" s="12" t="s">
        <v>34</v>
      </c>
      <c r="KM41" s="12" t="s">
        <v>34</v>
      </c>
      <c r="KN41" s="12" t="s">
        <v>619</v>
      </c>
      <c r="KO41" s="12" t="s">
        <v>34</v>
      </c>
      <c r="KP41" s="12" t="s">
        <v>34</v>
      </c>
      <c r="KQ41" s="12" t="s">
        <v>34</v>
      </c>
      <c r="KR41" s="12" t="s">
        <v>34</v>
      </c>
      <c r="KS41" s="12" t="s">
        <v>34</v>
      </c>
      <c r="KT41" s="12" t="s">
        <v>34</v>
      </c>
      <c r="KU41" s="12" t="s">
        <v>34</v>
      </c>
      <c r="KV41" s="12" t="s">
        <v>34</v>
      </c>
      <c r="KW41" s="12" t="s">
        <v>34</v>
      </c>
      <c r="KX41" s="12" t="s">
        <v>34</v>
      </c>
      <c r="KY41" s="12" t="s">
        <v>34</v>
      </c>
      <c r="KZ41" s="12" t="s">
        <v>34</v>
      </c>
      <c r="LA41" s="12" t="s">
        <v>34</v>
      </c>
      <c r="LB41" s="12" t="s">
        <v>34</v>
      </c>
      <c r="LC41" s="12" t="s">
        <v>34</v>
      </c>
      <c r="LD41" s="12" t="s">
        <v>34</v>
      </c>
      <c r="LE41" s="12" t="s">
        <v>34</v>
      </c>
      <c r="LF41" s="12" t="s">
        <v>34</v>
      </c>
      <c r="LG41" s="12" t="s">
        <v>34</v>
      </c>
      <c r="LH41" s="12" t="s">
        <v>34</v>
      </c>
      <c r="LI41" s="12" t="s">
        <v>619</v>
      </c>
      <c r="LJ41" s="12" t="s">
        <v>34</v>
      </c>
      <c r="LK41" s="12" t="s">
        <v>34</v>
      </c>
      <c r="LL41" s="13" t="s">
        <v>34</v>
      </c>
      <c r="LM41" s="13" t="s">
        <v>34</v>
      </c>
      <c r="LN41" s="13" t="s">
        <v>34</v>
      </c>
      <c r="LO41" s="13" t="s">
        <v>34</v>
      </c>
      <c r="LP41" s="90" t="s">
        <v>34</v>
      </c>
      <c r="LQ41" s="13" t="s">
        <v>34</v>
      </c>
      <c r="LR41" s="13" t="s">
        <v>34</v>
      </c>
      <c r="LS41" s="13"/>
      <c r="LT41" s="13" t="s">
        <v>34</v>
      </c>
      <c r="LU41" s="13" t="s">
        <v>34</v>
      </c>
      <c r="LV41" s="13" t="s">
        <v>34</v>
      </c>
      <c r="LW41" s="13" t="s">
        <v>34</v>
      </c>
      <c r="LX41" s="13" t="s">
        <v>34</v>
      </c>
      <c r="LY41" s="13" t="s">
        <v>34</v>
      </c>
      <c r="LZ41" s="13" t="s">
        <v>34</v>
      </c>
      <c r="MA41" s="13" t="s">
        <v>619</v>
      </c>
      <c r="MB41" s="13" t="s">
        <v>34</v>
      </c>
      <c r="MC41" s="13" t="s">
        <v>34</v>
      </c>
      <c r="MD41" s="13" t="s">
        <v>34</v>
      </c>
      <c r="ME41" s="13" t="s">
        <v>34</v>
      </c>
      <c r="MF41" s="13" t="s">
        <v>34</v>
      </c>
      <c r="MG41" s="13" t="s">
        <v>34</v>
      </c>
      <c r="MH41" s="13" t="s">
        <v>34</v>
      </c>
      <c r="MI41" s="13" t="s">
        <v>34</v>
      </c>
      <c r="MJ41" s="13" t="s">
        <v>34</v>
      </c>
      <c r="MK41" s="13" t="s">
        <v>34</v>
      </c>
      <c r="ML41" s="13" t="s">
        <v>34</v>
      </c>
      <c r="MM41" s="13" t="s">
        <v>34</v>
      </c>
      <c r="MN41" s="13" t="s">
        <v>34</v>
      </c>
      <c r="MO41" s="13" t="s">
        <v>34</v>
      </c>
      <c r="MP41" s="13" t="s">
        <v>34</v>
      </c>
      <c r="MQ41" s="13" t="s">
        <v>34</v>
      </c>
      <c r="MR41" s="13" t="s">
        <v>34</v>
      </c>
      <c r="MS41" s="13" t="s">
        <v>34</v>
      </c>
      <c r="MT41" s="13" t="s">
        <v>34</v>
      </c>
      <c r="MU41" s="13" t="s">
        <v>34</v>
      </c>
      <c r="MV41" s="13" t="s">
        <v>34</v>
      </c>
      <c r="MW41" s="13" t="s">
        <v>34</v>
      </c>
      <c r="MX41" s="13" t="s">
        <v>34</v>
      </c>
      <c r="MY41" s="28" t="s">
        <v>296</v>
      </c>
      <c r="MZ41" s="28" t="s">
        <v>296</v>
      </c>
      <c r="NA41" s="28" t="s">
        <v>297</v>
      </c>
      <c r="NB41" s="28" t="s">
        <v>296</v>
      </c>
      <c r="NC41" s="28" t="s">
        <v>296</v>
      </c>
      <c r="ND41" s="28" t="s">
        <v>296</v>
      </c>
      <c r="NE41" s="28" t="s">
        <v>296</v>
      </c>
      <c r="NF41" s="28" t="s">
        <v>296</v>
      </c>
      <c r="NG41" s="28" t="s">
        <v>297</v>
      </c>
      <c r="NH41" s="28" t="s">
        <v>297</v>
      </c>
      <c r="NI41" s="177" t="s">
        <v>297</v>
      </c>
      <c r="NJ41" s="177" t="s">
        <v>297</v>
      </c>
      <c r="NK41" s="177" t="s">
        <v>296</v>
      </c>
      <c r="NL41" s="177" t="s">
        <v>297</v>
      </c>
      <c r="NM41" s="177" t="s">
        <v>296</v>
      </c>
      <c r="NN41" s="177" t="s">
        <v>296</v>
      </c>
      <c r="NO41" s="177" t="s">
        <v>296</v>
      </c>
      <c r="NP41" s="177" t="s">
        <v>297</v>
      </c>
      <c r="NQ41" s="177" t="s">
        <v>296</v>
      </c>
      <c r="NR41" s="12" t="s">
        <v>34</v>
      </c>
      <c r="NS41" s="13" t="s">
        <v>34</v>
      </c>
    </row>
    <row r="42" spans="1:383" x14ac:dyDescent="0.25">
      <c r="A42" s="8" t="s">
        <v>123</v>
      </c>
      <c r="B42" s="9" t="s">
        <v>124</v>
      </c>
      <c r="C42" s="9">
        <v>75</v>
      </c>
      <c r="D42" s="9" t="s">
        <v>70</v>
      </c>
      <c r="E42" s="10">
        <v>111</v>
      </c>
      <c r="F42" s="10">
        <v>102</v>
      </c>
      <c r="G42" s="10">
        <v>96</v>
      </c>
      <c r="H42" s="10">
        <v>94</v>
      </c>
      <c r="I42" s="10">
        <v>52</v>
      </c>
      <c r="J42" s="11">
        <v>507</v>
      </c>
      <c r="K42" s="11">
        <v>443</v>
      </c>
      <c r="L42" s="11">
        <v>396</v>
      </c>
      <c r="M42" s="11">
        <v>409</v>
      </c>
      <c r="N42" s="11">
        <v>201</v>
      </c>
      <c r="O42" s="13">
        <v>7914</v>
      </c>
      <c r="P42" s="13">
        <v>7305</v>
      </c>
      <c r="Q42" s="13">
        <v>6521</v>
      </c>
      <c r="R42" s="13">
        <v>6448</v>
      </c>
      <c r="S42" s="13">
        <v>3276</v>
      </c>
      <c r="T42" s="12">
        <v>2259</v>
      </c>
      <c r="U42" s="12">
        <v>1713</v>
      </c>
      <c r="V42" s="12">
        <v>1249</v>
      </c>
      <c r="W42" s="12">
        <v>1541</v>
      </c>
      <c r="X42" s="12">
        <v>553</v>
      </c>
      <c r="Y42" s="12">
        <v>5.0999999999999996</v>
      </c>
      <c r="Z42" s="12">
        <v>5.0999999999999996</v>
      </c>
      <c r="AA42" s="12">
        <v>5.0999999999999996</v>
      </c>
      <c r="AB42" s="13">
        <v>5.0999999999999996</v>
      </c>
      <c r="AC42" s="13">
        <v>5.0999999999999996</v>
      </c>
      <c r="AD42" s="13">
        <v>5.0999999999999996</v>
      </c>
      <c r="AE42" s="35" t="s">
        <v>259</v>
      </c>
      <c r="AF42" s="35" t="s">
        <v>259</v>
      </c>
      <c r="AG42" s="35" t="s">
        <v>259</v>
      </c>
      <c r="AH42" s="38">
        <v>1</v>
      </c>
      <c r="AI42" s="38">
        <v>1</v>
      </c>
      <c r="AJ42" s="38">
        <v>1</v>
      </c>
      <c r="AK42" s="45" t="s">
        <v>288</v>
      </c>
      <c r="AL42" s="45" t="s">
        <v>34</v>
      </c>
      <c r="AM42" s="45" t="s">
        <v>34</v>
      </c>
      <c r="AN42" s="45" t="s">
        <v>34</v>
      </c>
      <c r="AO42" s="45" t="s">
        <v>34</v>
      </c>
      <c r="AP42" s="45" t="s">
        <v>34</v>
      </c>
      <c r="AQ42" s="53" t="s">
        <v>296</v>
      </c>
      <c r="AR42" s="56">
        <v>148</v>
      </c>
      <c r="AS42" s="57">
        <v>166</v>
      </c>
      <c r="AT42" s="56">
        <v>54</v>
      </c>
      <c r="AU42" s="57">
        <v>29146</v>
      </c>
      <c r="AV42" s="57">
        <v>25363</v>
      </c>
      <c r="AW42" s="57">
        <v>5780</v>
      </c>
      <c r="AX42" s="57">
        <v>30</v>
      </c>
      <c r="AY42" s="57">
        <v>13</v>
      </c>
      <c r="AZ42" s="57">
        <v>10</v>
      </c>
      <c r="BA42" s="57">
        <v>261</v>
      </c>
      <c r="BB42" s="57">
        <v>0</v>
      </c>
      <c r="BC42" s="57">
        <v>0</v>
      </c>
      <c r="BD42" s="57">
        <v>0</v>
      </c>
      <c r="BE42" s="57">
        <v>0</v>
      </c>
      <c r="BF42" s="57">
        <v>0</v>
      </c>
      <c r="BG42" s="57">
        <v>611</v>
      </c>
      <c r="BH42" s="57">
        <v>0</v>
      </c>
      <c r="BI42" s="57">
        <v>0</v>
      </c>
      <c r="BJ42" s="57" t="s">
        <v>296</v>
      </c>
      <c r="BK42" s="57">
        <v>30</v>
      </c>
      <c r="BL42" s="57">
        <v>0</v>
      </c>
      <c r="BM42" s="57">
        <v>4</v>
      </c>
      <c r="BN42" s="57">
        <v>105</v>
      </c>
      <c r="BO42" s="57">
        <v>425</v>
      </c>
      <c r="BP42" s="57">
        <v>385</v>
      </c>
      <c r="BQ42" s="76">
        <v>344</v>
      </c>
      <c r="BR42" s="76">
        <v>340</v>
      </c>
      <c r="BS42">
        <v>340</v>
      </c>
      <c r="BT42">
        <v>340</v>
      </c>
      <c r="BU42">
        <v>339</v>
      </c>
      <c r="BV42">
        <v>33441</v>
      </c>
      <c r="BW42">
        <v>33244</v>
      </c>
      <c r="BX42">
        <v>33253</v>
      </c>
      <c r="BY42">
        <v>32775</v>
      </c>
      <c r="BZ42">
        <v>32295</v>
      </c>
      <c r="CA42">
        <v>111</v>
      </c>
      <c r="CB42">
        <v>102</v>
      </c>
      <c r="CC42">
        <v>99</v>
      </c>
      <c r="CD42">
        <v>95</v>
      </c>
      <c r="CE42">
        <v>53</v>
      </c>
      <c r="CF42">
        <v>10173</v>
      </c>
      <c r="CG42">
        <v>9018</v>
      </c>
      <c r="CH42">
        <v>7770</v>
      </c>
      <c r="CI42">
        <v>7989</v>
      </c>
      <c r="CJ42">
        <v>3829</v>
      </c>
      <c r="CK42" s="10">
        <v>30.5</v>
      </c>
      <c r="CL42" s="10">
        <v>30.5</v>
      </c>
      <c r="CM42" s="10">
        <v>30.5</v>
      </c>
      <c r="CN42" s="11">
        <v>17.8</v>
      </c>
      <c r="CO42" s="11">
        <v>17.8</v>
      </c>
      <c r="CP42" s="11">
        <v>17.8</v>
      </c>
      <c r="CQ42" s="13">
        <v>24</v>
      </c>
      <c r="CR42" s="13">
        <v>23</v>
      </c>
      <c r="CS42" s="13">
        <v>1</v>
      </c>
      <c r="CT42" s="10">
        <v>0</v>
      </c>
      <c r="CU42" s="10">
        <v>0</v>
      </c>
      <c r="CV42" s="10">
        <v>22</v>
      </c>
      <c r="CW42" s="10">
        <v>5</v>
      </c>
      <c r="CX42" s="10">
        <v>3</v>
      </c>
      <c r="CY42" s="10">
        <v>0</v>
      </c>
      <c r="CZ42" s="10">
        <v>0</v>
      </c>
      <c r="DA42" s="10">
        <v>0</v>
      </c>
      <c r="DB42" s="10">
        <v>0</v>
      </c>
      <c r="DC42" s="10">
        <v>2</v>
      </c>
      <c r="DD42" s="10">
        <v>2</v>
      </c>
      <c r="DE42" s="10">
        <v>0</v>
      </c>
      <c r="DF42" s="10">
        <v>2</v>
      </c>
      <c r="DG42" s="10">
        <v>0</v>
      </c>
      <c r="DH42" s="10">
        <v>0</v>
      </c>
      <c r="DI42" s="81">
        <v>0</v>
      </c>
      <c r="DJ42" s="81">
        <v>5</v>
      </c>
      <c r="DK42" s="81">
        <v>7</v>
      </c>
      <c r="DL42" s="81">
        <v>7</v>
      </c>
      <c r="DM42" s="81">
        <v>8</v>
      </c>
      <c r="DN42" s="12">
        <v>6</v>
      </c>
      <c r="DO42" s="12">
        <v>1</v>
      </c>
      <c r="DP42" s="12">
        <v>5</v>
      </c>
      <c r="DQ42" s="12">
        <v>0</v>
      </c>
      <c r="DR42" s="12">
        <v>0</v>
      </c>
      <c r="DS42" s="12">
        <v>0</v>
      </c>
      <c r="DT42" s="12">
        <v>0</v>
      </c>
      <c r="DU42" s="12">
        <v>0</v>
      </c>
      <c r="DV42" s="12">
        <v>10</v>
      </c>
      <c r="DW42" s="12">
        <v>7</v>
      </c>
      <c r="DX42" s="12">
        <v>0</v>
      </c>
      <c r="DY42" s="12">
        <v>8</v>
      </c>
      <c r="DZ42" s="12">
        <v>4</v>
      </c>
      <c r="EA42" s="12">
        <v>0</v>
      </c>
      <c r="EB42" s="12">
        <v>16</v>
      </c>
      <c r="EC42" s="12">
        <v>0</v>
      </c>
      <c r="ED42" s="12">
        <v>14</v>
      </c>
      <c r="EE42" s="12">
        <v>3</v>
      </c>
      <c r="EF42" s="12">
        <v>0</v>
      </c>
      <c r="EG42" s="12">
        <v>0</v>
      </c>
      <c r="EH42" s="12">
        <v>0</v>
      </c>
      <c r="EI42" s="12">
        <v>2</v>
      </c>
      <c r="EJ42" s="12">
        <v>3</v>
      </c>
      <c r="EK42" s="12">
        <v>0</v>
      </c>
      <c r="EL42" s="12">
        <v>6</v>
      </c>
      <c r="EM42" s="12">
        <v>0</v>
      </c>
      <c r="EN42" s="12">
        <v>6</v>
      </c>
      <c r="EO42" s="12">
        <v>0</v>
      </c>
      <c r="EP42" s="12">
        <v>0</v>
      </c>
      <c r="EQ42" s="12">
        <v>3</v>
      </c>
      <c r="ER42" s="12">
        <v>2</v>
      </c>
      <c r="ES42" s="13">
        <v>29</v>
      </c>
      <c r="ET42" s="13">
        <v>19</v>
      </c>
      <c r="EU42" s="13">
        <v>0</v>
      </c>
      <c r="EV42" s="10">
        <v>0</v>
      </c>
      <c r="EW42" s="10">
        <v>0</v>
      </c>
      <c r="EX42" s="10">
        <v>11</v>
      </c>
      <c r="EY42" s="10">
        <v>3</v>
      </c>
      <c r="EZ42" s="10">
        <v>3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1</v>
      </c>
      <c r="FI42" s="10">
        <v>0</v>
      </c>
      <c r="FJ42" s="10">
        <v>0</v>
      </c>
      <c r="FK42" s="81">
        <v>3</v>
      </c>
      <c r="FL42" s="81">
        <v>2</v>
      </c>
      <c r="FM42" s="81">
        <v>15</v>
      </c>
      <c r="FN42" s="81">
        <v>4</v>
      </c>
      <c r="FO42" s="81">
        <v>18</v>
      </c>
      <c r="FP42" s="12">
        <v>13</v>
      </c>
      <c r="FQ42" s="12">
        <v>0</v>
      </c>
      <c r="FR42" s="12">
        <v>27</v>
      </c>
      <c r="FS42" s="12">
        <v>0</v>
      </c>
      <c r="FT42" s="12">
        <v>0</v>
      </c>
      <c r="FU42" s="12">
        <v>0</v>
      </c>
      <c r="FV42" s="12">
        <v>3</v>
      </c>
      <c r="FW42" s="12">
        <v>0</v>
      </c>
      <c r="FX42" s="12">
        <v>12</v>
      </c>
      <c r="FY42" s="12">
        <v>3</v>
      </c>
      <c r="FZ42" s="12">
        <v>0</v>
      </c>
      <c r="GA42" s="12">
        <v>8</v>
      </c>
      <c r="GB42" s="12">
        <v>2</v>
      </c>
      <c r="GC42" s="12">
        <v>0</v>
      </c>
      <c r="GD42" s="12">
        <v>16</v>
      </c>
      <c r="GE42" s="12">
        <v>0</v>
      </c>
      <c r="GF42" s="12">
        <v>13</v>
      </c>
      <c r="GG42" s="12">
        <v>1</v>
      </c>
      <c r="GH42" s="12">
        <v>4</v>
      </c>
      <c r="GI42" s="12">
        <v>0</v>
      </c>
      <c r="GJ42" s="12">
        <v>0</v>
      </c>
      <c r="GK42" s="12">
        <v>4</v>
      </c>
      <c r="GL42" s="12">
        <v>2</v>
      </c>
      <c r="GM42" s="12">
        <v>0</v>
      </c>
      <c r="GN42" s="12">
        <v>14</v>
      </c>
      <c r="GO42" s="12">
        <v>2</v>
      </c>
      <c r="GP42" s="12">
        <v>10</v>
      </c>
      <c r="GQ42" s="12">
        <v>0</v>
      </c>
      <c r="GR42" s="12">
        <v>0</v>
      </c>
      <c r="GS42" s="12">
        <v>1</v>
      </c>
      <c r="GT42" s="12">
        <v>3</v>
      </c>
      <c r="GU42" s="13">
        <v>166</v>
      </c>
      <c r="GV42" s="13">
        <v>15</v>
      </c>
      <c r="GW42" s="13">
        <v>0</v>
      </c>
      <c r="GX42" s="13">
        <v>1</v>
      </c>
      <c r="GY42" s="10">
        <v>0</v>
      </c>
      <c r="GZ42" s="10">
        <v>0</v>
      </c>
      <c r="HA42" s="10">
        <v>10</v>
      </c>
      <c r="HB42" s="10">
        <v>6</v>
      </c>
      <c r="HC42" s="10">
        <v>9</v>
      </c>
      <c r="HD42" s="10">
        <v>0</v>
      </c>
      <c r="HE42" s="10">
        <v>0</v>
      </c>
      <c r="HF42" s="10">
        <v>0</v>
      </c>
      <c r="HG42" s="10">
        <v>0</v>
      </c>
      <c r="HH42" s="10">
        <v>0</v>
      </c>
      <c r="HI42" s="10">
        <v>0</v>
      </c>
      <c r="HJ42" s="10">
        <v>0</v>
      </c>
      <c r="HK42" s="10">
        <v>1</v>
      </c>
      <c r="HL42" s="10">
        <v>0</v>
      </c>
      <c r="HM42" s="10">
        <v>0</v>
      </c>
      <c r="HN42" s="81">
        <v>0</v>
      </c>
      <c r="HO42" s="81">
        <v>0</v>
      </c>
      <c r="HP42" s="81">
        <v>0</v>
      </c>
      <c r="HQ42" s="81">
        <v>0</v>
      </c>
      <c r="HR42" s="81">
        <v>1</v>
      </c>
      <c r="HS42" s="12">
        <v>3</v>
      </c>
      <c r="HT42" s="12">
        <v>0</v>
      </c>
      <c r="HU42" s="12">
        <v>0</v>
      </c>
      <c r="HV42" s="12">
        <v>0</v>
      </c>
      <c r="HW42" s="12">
        <v>0</v>
      </c>
      <c r="HX42" s="12">
        <v>0</v>
      </c>
      <c r="HY42" s="12">
        <v>0</v>
      </c>
      <c r="HZ42" s="12">
        <v>0</v>
      </c>
      <c r="IA42" s="12">
        <v>0</v>
      </c>
      <c r="IB42" s="12">
        <v>0</v>
      </c>
      <c r="IC42" s="12">
        <v>1</v>
      </c>
      <c r="ID42" s="12">
        <v>4</v>
      </c>
      <c r="IE42" s="12">
        <v>1</v>
      </c>
      <c r="IF42" s="12">
        <v>0</v>
      </c>
      <c r="IG42" s="12">
        <v>5</v>
      </c>
      <c r="IH42" s="12">
        <v>0</v>
      </c>
      <c r="II42" s="12">
        <v>0</v>
      </c>
      <c r="IJ42" s="12">
        <v>0</v>
      </c>
      <c r="IK42" s="12">
        <v>2</v>
      </c>
      <c r="IL42" s="12">
        <v>1</v>
      </c>
      <c r="IM42" s="12">
        <v>0</v>
      </c>
      <c r="IN42" s="12">
        <v>0</v>
      </c>
      <c r="IO42" s="12">
        <v>3</v>
      </c>
      <c r="IP42" s="12">
        <v>0</v>
      </c>
      <c r="IQ42" s="12">
        <v>2</v>
      </c>
      <c r="IR42" s="12">
        <v>1</v>
      </c>
      <c r="IS42" s="12">
        <v>1</v>
      </c>
      <c r="IT42" s="12">
        <v>0</v>
      </c>
      <c r="IU42" s="12">
        <v>0</v>
      </c>
      <c r="IV42" s="12">
        <v>2</v>
      </c>
      <c r="IW42" s="12">
        <v>0</v>
      </c>
      <c r="IX42" s="11">
        <v>53000</v>
      </c>
      <c r="IY42" s="11">
        <v>46800</v>
      </c>
      <c r="IZ42" s="11">
        <v>52800</v>
      </c>
      <c r="JA42" s="85" t="s">
        <v>602</v>
      </c>
      <c r="JB42" s="85">
        <v>1</v>
      </c>
      <c r="JC42" s="85" t="s">
        <v>602</v>
      </c>
      <c r="JD42" s="12">
        <v>8</v>
      </c>
      <c r="JE42" s="12">
        <v>4</v>
      </c>
      <c r="JF42" s="12">
        <v>7</v>
      </c>
      <c r="JG42" s="12">
        <v>4</v>
      </c>
      <c r="JH42" s="12">
        <v>8</v>
      </c>
      <c r="JI42" s="12">
        <v>3</v>
      </c>
      <c r="JJ42" s="13" t="s">
        <v>619</v>
      </c>
      <c r="JK42" s="13" t="s">
        <v>620</v>
      </c>
      <c r="JL42" s="13" t="s">
        <v>296</v>
      </c>
      <c r="JM42" s="89"/>
      <c r="JN42" s="89"/>
      <c r="JO42" s="89" t="s">
        <v>296</v>
      </c>
      <c r="JP42" s="89"/>
      <c r="JQ42" s="89"/>
      <c r="JR42" s="89" t="s">
        <v>296</v>
      </c>
      <c r="JS42" s="89" t="s">
        <v>619</v>
      </c>
      <c r="JT42" s="89" t="s">
        <v>619</v>
      </c>
      <c r="JU42" s="89" t="s">
        <v>296</v>
      </c>
      <c r="JV42" s="89"/>
      <c r="JW42" s="89"/>
      <c r="JX42" s="89" t="s">
        <v>296</v>
      </c>
      <c r="JY42" s="12" t="s">
        <v>619</v>
      </c>
      <c r="JZ42" s="12" t="s">
        <v>34</v>
      </c>
      <c r="KA42" s="12" t="s">
        <v>619</v>
      </c>
      <c r="KB42" s="12" t="s">
        <v>619</v>
      </c>
      <c r="KC42" s="12" t="s">
        <v>619</v>
      </c>
      <c r="KD42" s="12" t="s">
        <v>34</v>
      </c>
      <c r="KE42" s="12" t="s">
        <v>34</v>
      </c>
      <c r="KF42" s="12"/>
      <c r="KG42" s="12" t="s">
        <v>619</v>
      </c>
      <c r="KH42" s="12" t="s">
        <v>34</v>
      </c>
      <c r="KI42" s="12" t="s">
        <v>619</v>
      </c>
      <c r="KJ42" s="12" t="s">
        <v>619</v>
      </c>
      <c r="KK42" s="12" t="s">
        <v>34</v>
      </c>
      <c r="KL42" s="12" t="s">
        <v>34</v>
      </c>
      <c r="KM42" s="12" t="s">
        <v>619</v>
      </c>
      <c r="KN42" s="12" t="s">
        <v>619</v>
      </c>
      <c r="KO42" s="12" t="s">
        <v>619</v>
      </c>
      <c r="KP42" s="12" t="s">
        <v>619</v>
      </c>
      <c r="KQ42" s="12" t="s">
        <v>619</v>
      </c>
      <c r="KR42" s="12" t="s">
        <v>619</v>
      </c>
      <c r="KS42" s="12" t="s">
        <v>619</v>
      </c>
      <c r="KT42" s="12" t="s">
        <v>619</v>
      </c>
      <c r="KU42" s="12" t="s">
        <v>34</v>
      </c>
      <c r="KV42" s="12" t="s">
        <v>34</v>
      </c>
      <c r="KW42" s="12" t="s">
        <v>619</v>
      </c>
      <c r="KX42" s="12" t="s">
        <v>619</v>
      </c>
      <c r="KY42" s="12" t="s">
        <v>619</v>
      </c>
      <c r="KZ42" s="12" t="s">
        <v>34</v>
      </c>
      <c r="LA42" s="12" t="s">
        <v>34</v>
      </c>
      <c r="LB42" s="12" t="s">
        <v>619</v>
      </c>
      <c r="LC42" s="12" t="s">
        <v>619</v>
      </c>
      <c r="LD42" s="12" t="s">
        <v>619</v>
      </c>
      <c r="LE42" s="12" t="s">
        <v>34</v>
      </c>
      <c r="LF42" s="12" t="s">
        <v>34</v>
      </c>
      <c r="LG42" s="12" t="s">
        <v>34</v>
      </c>
      <c r="LH42" s="12" t="s">
        <v>619</v>
      </c>
      <c r="LI42" s="12" t="s">
        <v>619</v>
      </c>
      <c r="LJ42" s="12" t="s">
        <v>619</v>
      </c>
      <c r="LK42" s="12" t="s">
        <v>619</v>
      </c>
      <c r="LL42" s="13" t="s">
        <v>619</v>
      </c>
      <c r="LM42" s="13" t="s">
        <v>34</v>
      </c>
      <c r="LN42" s="13" t="s">
        <v>619</v>
      </c>
      <c r="LO42" s="13" t="s">
        <v>34</v>
      </c>
      <c r="LP42" s="90" t="s">
        <v>619</v>
      </c>
      <c r="LQ42" s="13" t="s">
        <v>34</v>
      </c>
      <c r="LR42" s="13" t="s">
        <v>34</v>
      </c>
      <c r="LS42" s="13"/>
      <c r="LT42" s="13" t="s">
        <v>34</v>
      </c>
      <c r="LU42" s="13" t="s">
        <v>34</v>
      </c>
      <c r="LV42" s="13" t="s">
        <v>34</v>
      </c>
      <c r="LW42" s="13" t="s">
        <v>34</v>
      </c>
      <c r="LX42" s="13" t="s">
        <v>34</v>
      </c>
      <c r="LY42" s="13" t="s">
        <v>34</v>
      </c>
      <c r="LZ42" s="13" t="s">
        <v>619</v>
      </c>
      <c r="MA42" s="13" t="s">
        <v>619</v>
      </c>
      <c r="MB42" s="13" t="s">
        <v>619</v>
      </c>
      <c r="MC42" s="13" t="s">
        <v>619</v>
      </c>
      <c r="MD42" s="13" t="s">
        <v>619</v>
      </c>
      <c r="ME42" s="13" t="s">
        <v>619</v>
      </c>
      <c r="MF42" s="13" t="s">
        <v>34</v>
      </c>
      <c r="MG42" s="13" t="s">
        <v>619</v>
      </c>
      <c r="MH42" s="13" t="s">
        <v>34</v>
      </c>
      <c r="MI42" s="13" t="s">
        <v>34</v>
      </c>
      <c r="MJ42" s="13" t="s">
        <v>34</v>
      </c>
      <c r="MK42" s="13" t="s">
        <v>619</v>
      </c>
      <c r="ML42" s="13" t="s">
        <v>34</v>
      </c>
      <c r="MM42" s="13" t="s">
        <v>34</v>
      </c>
      <c r="MN42" s="13" t="s">
        <v>34</v>
      </c>
      <c r="MO42" s="13" t="s">
        <v>619</v>
      </c>
      <c r="MP42" s="13" t="s">
        <v>619</v>
      </c>
      <c r="MQ42" s="13" t="s">
        <v>619</v>
      </c>
      <c r="MR42" s="13" t="s">
        <v>34</v>
      </c>
      <c r="MS42" s="13" t="s">
        <v>34</v>
      </c>
      <c r="MT42" s="13" t="s">
        <v>34</v>
      </c>
      <c r="MU42" s="13" t="s">
        <v>34</v>
      </c>
      <c r="MV42" s="13" t="s">
        <v>34</v>
      </c>
      <c r="MW42" s="13" t="s">
        <v>619</v>
      </c>
      <c r="MX42" s="13" t="s">
        <v>34</v>
      </c>
      <c r="MY42" s="28" t="s">
        <v>296</v>
      </c>
      <c r="MZ42" s="28" t="s">
        <v>296</v>
      </c>
      <c r="NA42" s="28" t="s">
        <v>296</v>
      </c>
      <c r="NB42" s="28" t="s">
        <v>296</v>
      </c>
      <c r="NC42" s="28" t="s">
        <v>296</v>
      </c>
      <c r="ND42" s="28" t="s">
        <v>297</v>
      </c>
      <c r="NE42" s="28" t="s">
        <v>296</v>
      </c>
      <c r="NF42" s="28" t="s">
        <v>296</v>
      </c>
      <c r="NG42" s="28" t="s">
        <v>297</v>
      </c>
      <c r="NH42" s="28" t="s">
        <v>297</v>
      </c>
      <c r="NI42" s="177" t="s">
        <v>296</v>
      </c>
      <c r="NJ42" s="177" t="s">
        <v>296</v>
      </c>
      <c r="NK42" s="177" t="s">
        <v>297</v>
      </c>
      <c r="NL42" s="177" t="s">
        <v>296</v>
      </c>
      <c r="NM42" s="177" t="s">
        <v>296</v>
      </c>
      <c r="NN42" s="177" t="s">
        <v>296</v>
      </c>
      <c r="NO42" s="177" t="s">
        <v>296</v>
      </c>
      <c r="NP42" s="177" t="s">
        <v>296</v>
      </c>
      <c r="NQ42" s="177" t="s">
        <v>296</v>
      </c>
      <c r="NR42" s="12" t="s">
        <v>619</v>
      </c>
      <c r="NS42" s="13" t="s">
        <v>34</v>
      </c>
    </row>
    <row r="43" spans="1:383" x14ac:dyDescent="0.25">
      <c r="A43" s="8" t="s">
        <v>125</v>
      </c>
      <c r="B43" s="9" t="s">
        <v>126</v>
      </c>
      <c r="C43" s="9">
        <v>24</v>
      </c>
      <c r="D43" s="9" t="s">
        <v>75</v>
      </c>
      <c r="E43" s="10">
        <v>106</v>
      </c>
      <c r="F43" s="10">
        <v>99</v>
      </c>
      <c r="G43" s="10">
        <v>104</v>
      </c>
      <c r="H43" s="10">
        <v>93</v>
      </c>
      <c r="I43" s="10">
        <v>76</v>
      </c>
      <c r="J43" s="11">
        <v>426</v>
      </c>
      <c r="K43" s="11">
        <v>386</v>
      </c>
      <c r="L43" s="11">
        <v>372</v>
      </c>
      <c r="M43" s="11">
        <v>316</v>
      </c>
      <c r="N43" s="11">
        <v>266</v>
      </c>
      <c r="O43" s="13">
        <v>4237</v>
      </c>
      <c r="P43" s="13">
        <v>4424</v>
      </c>
      <c r="Q43" s="13">
        <v>4219</v>
      </c>
      <c r="R43" s="13">
        <v>3337</v>
      </c>
      <c r="S43" s="13">
        <v>2548</v>
      </c>
      <c r="T43" s="12">
        <v>2487</v>
      </c>
      <c r="U43" s="12">
        <v>2391</v>
      </c>
      <c r="V43" s="12">
        <v>2471</v>
      </c>
      <c r="W43" s="12">
        <v>2173</v>
      </c>
      <c r="X43" s="12">
        <v>1490</v>
      </c>
      <c r="Y43" s="12">
        <v>7.85</v>
      </c>
      <c r="Z43" s="12">
        <v>7.85</v>
      </c>
      <c r="AA43" s="12">
        <v>7.85</v>
      </c>
      <c r="AB43" s="13">
        <v>7.85</v>
      </c>
      <c r="AC43" s="13">
        <v>7.85</v>
      </c>
      <c r="AD43" s="13">
        <v>7.85</v>
      </c>
      <c r="AE43" s="35" t="s">
        <v>258</v>
      </c>
      <c r="AF43" s="35" t="s">
        <v>266</v>
      </c>
      <c r="AG43" s="35" t="s">
        <v>258</v>
      </c>
      <c r="AH43" s="38">
        <v>1</v>
      </c>
      <c r="AI43" s="38">
        <v>1</v>
      </c>
      <c r="AJ43" s="38">
        <v>1</v>
      </c>
      <c r="AK43" s="45" t="s">
        <v>288</v>
      </c>
      <c r="AL43" s="45" t="s">
        <v>34</v>
      </c>
      <c r="AM43" s="45" t="s">
        <v>34</v>
      </c>
      <c r="AN43" s="45" t="s">
        <v>34</v>
      </c>
      <c r="AO43" s="45" t="s">
        <v>34</v>
      </c>
      <c r="AP43" s="45" t="s">
        <v>292</v>
      </c>
      <c r="AQ43" s="53" t="s">
        <v>296</v>
      </c>
      <c r="AR43" s="56">
        <v>251</v>
      </c>
      <c r="AS43" s="57">
        <v>83</v>
      </c>
      <c r="AT43" s="56">
        <v>161</v>
      </c>
      <c r="AU43" s="57">
        <v>28072</v>
      </c>
      <c r="AV43" s="57">
        <v>8739</v>
      </c>
      <c r="AW43" s="57">
        <v>11741</v>
      </c>
      <c r="AX43" s="57">
        <v>99</v>
      </c>
      <c r="AY43" s="57">
        <v>84</v>
      </c>
      <c r="AZ43" s="57">
        <v>46</v>
      </c>
      <c r="BA43" s="57">
        <v>11557</v>
      </c>
      <c r="BB43" s="57">
        <v>8845</v>
      </c>
      <c r="BC43" s="57">
        <v>9270</v>
      </c>
      <c r="BD43" s="57">
        <v>3301</v>
      </c>
      <c r="BE43" s="57">
        <v>3224</v>
      </c>
      <c r="BF43" s="57">
        <v>2332</v>
      </c>
      <c r="BG43" s="57">
        <v>4814</v>
      </c>
      <c r="BH43" s="57">
        <v>3870</v>
      </c>
      <c r="BI43" s="57">
        <v>2698</v>
      </c>
      <c r="BJ43" s="57" t="s">
        <v>297</v>
      </c>
      <c r="BK43" s="57">
        <v>3</v>
      </c>
      <c r="BL43" s="57">
        <v>6</v>
      </c>
      <c r="BM43" s="57">
        <v>0</v>
      </c>
      <c r="BN43" s="57">
        <v>60</v>
      </c>
      <c r="BO43" s="57">
        <v>55</v>
      </c>
      <c r="BP43" s="57">
        <v>55</v>
      </c>
      <c r="BQ43" s="76">
        <v>301</v>
      </c>
      <c r="BR43" s="76">
        <v>299</v>
      </c>
      <c r="BS43">
        <v>294</v>
      </c>
      <c r="BT43">
        <v>294</v>
      </c>
      <c r="BU43">
        <v>294</v>
      </c>
      <c r="BV43">
        <v>28648</v>
      </c>
      <c r="BW43">
        <v>27969</v>
      </c>
      <c r="BX43">
        <v>27532</v>
      </c>
      <c r="BY43">
        <v>26922</v>
      </c>
      <c r="BZ43">
        <v>26363</v>
      </c>
      <c r="CA43">
        <v>170</v>
      </c>
      <c r="CB43">
        <v>160</v>
      </c>
      <c r="CC43">
        <v>191</v>
      </c>
      <c r="CD43">
        <v>146</v>
      </c>
      <c r="CE43">
        <v>93</v>
      </c>
      <c r="CF43">
        <v>6724</v>
      </c>
      <c r="CG43">
        <v>6815</v>
      </c>
      <c r="CH43">
        <v>6690</v>
      </c>
      <c r="CI43">
        <v>5510</v>
      </c>
      <c r="CJ43">
        <v>4038</v>
      </c>
      <c r="CK43" s="10">
        <v>49.5</v>
      </c>
      <c r="CL43" s="10">
        <v>49.5</v>
      </c>
      <c r="CM43" s="10">
        <v>49.5</v>
      </c>
      <c r="CN43" s="11">
        <v>19.850000000000001</v>
      </c>
      <c r="CO43" s="11">
        <v>19.850000000000001</v>
      </c>
      <c r="CP43" s="11">
        <v>19.850000000000001</v>
      </c>
      <c r="CQ43" s="13">
        <v>47</v>
      </c>
      <c r="CR43" s="13">
        <v>8</v>
      </c>
      <c r="CS43" s="13">
        <v>1</v>
      </c>
      <c r="CT43" s="10">
        <v>0</v>
      </c>
      <c r="CU43" s="10">
        <v>2</v>
      </c>
      <c r="CV43" s="10">
        <v>36</v>
      </c>
      <c r="CW43" s="10">
        <v>30</v>
      </c>
      <c r="CX43" s="10">
        <v>12</v>
      </c>
      <c r="CY43" s="10">
        <v>0</v>
      </c>
      <c r="CZ43" s="10">
        <v>0</v>
      </c>
      <c r="DA43" s="10">
        <v>0</v>
      </c>
      <c r="DB43" s="10">
        <v>0</v>
      </c>
      <c r="DC43" s="10">
        <v>0</v>
      </c>
      <c r="DD43" s="10">
        <v>1</v>
      </c>
      <c r="DE43" s="10">
        <v>0</v>
      </c>
      <c r="DF43" s="10">
        <v>2</v>
      </c>
      <c r="DG43" s="10">
        <v>1</v>
      </c>
      <c r="DH43" s="10">
        <v>1</v>
      </c>
      <c r="DI43" s="81">
        <v>0</v>
      </c>
      <c r="DJ43" s="81">
        <v>1</v>
      </c>
      <c r="DK43" s="81">
        <v>14</v>
      </c>
      <c r="DL43" s="81">
        <v>0</v>
      </c>
      <c r="DM43" s="81">
        <v>0</v>
      </c>
      <c r="DN43" s="12">
        <v>0</v>
      </c>
      <c r="DO43" s="12">
        <v>0</v>
      </c>
      <c r="DP43" s="12">
        <v>6</v>
      </c>
      <c r="DQ43" s="12">
        <v>1</v>
      </c>
      <c r="DR43" s="12">
        <v>0</v>
      </c>
      <c r="DS43" s="12">
        <v>0</v>
      </c>
      <c r="DT43" s="12">
        <v>1</v>
      </c>
      <c r="DU43" s="12">
        <v>0</v>
      </c>
      <c r="DV43" s="12">
        <v>20</v>
      </c>
      <c r="DW43" s="12">
        <v>4</v>
      </c>
      <c r="DX43" s="12">
        <v>9</v>
      </c>
      <c r="DY43" s="12">
        <v>3</v>
      </c>
      <c r="DZ43" s="12">
        <v>0</v>
      </c>
      <c r="EA43" s="12">
        <v>0</v>
      </c>
      <c r="EB43" s="12">
        <v>68</v>
      </c>
      <c r="EC43" s="12">
        <v>0</v>
      </c>
      <c r="ED43" s="12">
        <v>98</v>
      </c>
      <c r="EE43" s="12">
        <v>2</v>
      </c>
      <c r="EF43" s="12">
        <v>15</v>
      </c>
      <c r="EG43" s="12">
        <v>0</v>
      </c>
      <c r="EH43" s="12">
        <v>0</v>
      </c>
      <c r="EI43" s="12">
        <v>0</v>
      </c>
      <c r="EJ43" s="12">
        <v>6</v>
      </c>
      <c r="EK43" s="12">
        <v>0</v>
      </c>
      <c r="EL43" s="12">
        <v>6</v>
      </c>
      <c r="EM43" s="12">
        <v>2</v>
      </c>
      <c r="EN43" s="12">
        <v>1</v>
      </c>
      <c r="EO43" s="12">
        <v>0</v>
      </c>
      <c r="EP43" s="12">
        <v>3</v>
      </c>
      <c r="EQ43" s="12">
        <v>3</v>
      </c>
      <c r="ER43" s="12">
        <v>0</v>
      </c>
      <c r="ES43" s="13">
        <v>0</v>
      </c>
      <c r="ET43" s="13">
        <v>6</v>
      </c>
      <c r="EU43" s="13">
        <v>0</v>
      </c>
      <c r="EV43" s="10">
        <v>0</v>
      </c>
      <c r="EW43" s="10">
        <v>0</v>
      </c>
      <c r="EX43" s="10">
        <v>0</v>
      </c>
      <c r="EY43" s="10">
        <v>0</v>
      </c>
      <c r="EZ43" s="10">
        <v>0</v>
      </c>
      <c r="FA43" s="10">
        <v>0</v>
      </c>
      <c r="FB43" s="10">
        <v>0</v>
      </c>
      <c r="FC43" s="10">
        <v>0</v>
      </c>
      <c r="FD43" s="10">
        <v>3</v>
      </c>
      <c r="FE43" s="10">
        <v>0</v>
      </c>
      <c r="FF43" s="10">
        <v>0</v>
      </c>
      <c r="FG43" s="10">
        <v>0</v>
      </c>
      <c r="FH43" s="10">
        <v>0</v>
      </c>
      <c r="FI43" s="10">
        <v>0</v>
      </c>
      <c r="FJ43" s="10">
        <v>0</v>
      </c>
      <c r="FK43" s="81">
        <v>2</v>
      </c>
      <c r="FL43" s="81">
        <v>1</v>
      </c>
      <c r="FM43" s="81">
        <v>1</v>
      </c>
      <c r="FN43" s="81">
        <v>11</v>
      </c>
      <c r="FO43" s="81">
        <v>0</v>
      </c>
      <c r="FP43" s="12">
        <v>0</v>
      </c>
      <c r="FQ43" s="12">
        <v>0</v>
      </c>
      <c r="FR43" s="12">
        <v>0</v>
      </c>
      <c r="FS43" s="12">
        <v>0</v>
      </c>
      <c r="FT43" s="12">
        <v>14</v>
      </c>
      <c r="FU43" s="12">
        <v>0</v>
      </c>
      <c r="FV43" s="12">
        <v>0</v>
      </c>
      <c r="FW43" s="12">
        <v>0</v>
      </c>
      <c r="FX43" s="12">
        <v>1</v>
      </c>
      <c r="FY43" s="12">
        <v>5</v>
      </c>
      <c r="FZ43" s="12">
        <v>0</v>
      </c>
      <c r="GA43" s="12">
        <v>0</v>
      </c>
      <c r="GB43" s="12">
        <v>0</v>
      </c>
      <c r="GC43" s="12">
        <v>2</v>
      </c>
      <c r="GD43" s="12">
        <v>0</v>
      </c>
      <c r="GE43" s="12">
        <v>0</v>
      </c>
      <c r="GF43" s="12">
        <v>25</v>
      </c>
      <c r="GG43" s="12">
        <v>0</v>
      </c>
      <c r="GH43" s="12">
        <v>0</v>
      </c>
      <c r="GI43" s="12">
        <v>0</v>
      </c>
      <c r="GJ43" s="12">
        <v>0</v>
      </c>
      <c r="GK43" s="12">
        <v>0</v>
      </c>
      <c r="GL43" s="12">
        <v>1</v>
      </c>
      <c r="GM43" s="12">
        <v>0</v>
      </c>
      <c r="GN43" s="12">
        <v>25</v>
      </c>
      <c r="GO43" s="12">
        <v>0</v>
      </c>
      <c r="GP43" s="12">
        <v>0</v>
      </c>
      <c r="GQ43" s="12">
        <v>0</v>
      </c>
      <c r="GR43" s="12">
        <v>0</v>
      </c>
      <c r="GS43" s="12">
        <v>0</v>
      </c>
      <c r="GT43" s="12">
        <v>2</v>
      </c>
      <c r="GU43" s="13">
        <v>83</v>
      </c>
      <c r="GV43" s="13">
        <v>36</v>
      </c>
      <c r="GW43" s="13">
        <v>0</v>
      </c>
      <c r="GX43" s="13">
        <v>0</v>
      </c>
      <c r="GY43" s="10">
        <v>0</v>
      </c>
      <c r="GZ43" s="10">
        <v>0</v>
      </c>
      <c r="HA43" s="10">
        <v>19</v>
      </c>
      <c r="HB43" s="10">
        <v>19</v>
      </c>
      <c r="HC43" s="10">
        <v>42</v>
      </c>
      <c r="HD43" s="10">
        <v>0</v>
      </c>
      <c r="HE43" s="10">
        <v>0</v>
      </c>
      <c r="HF43" s="10">
        <v>0</v>
      </c>
      <c r="HG43" s="10">
        <v>0</v>
      </c>
      <c r="HH43" s="10">
        <v>0</v>
      </c>
      <c r="HI43" s="10">
        <v>4</v>
      </c>
      <c r="HJ43" s="10">
        <v>0</v>
      </c>
      <c r="HK43" s="10">
        <v>0</v>
      </c>
      <c r="HL43" s="10">
        <v>0</v>
      </c>
      <c r="HM43" s="10">
        <v>0</v>
      </c>
      <c r="HN43" s="81">
        <v>0</v>
      </c>
      <c r="HO43" s="81">
        <v>4</v>
      </c>
      <c r="HP43" s="81">
        <v>9</v>
      </c>
      <c r="HQ43" s="81">
        <v>0</v>
      </c>
      <c r="HR43" s="81">
        <v>0</v>
      </c>
      <c r="HS43" s="12">
        <v>0</v>
      </c>
      <c r="HT43" s="12">
        <v>0</v>
      </c>
      <c r="HU43" s="12">
        <v>7</v>
      </c>
      <c r="HV43" s="12">
        <v>0</v>
      </c>
      <c r="HW43" s="12">
        <v>0</v>
      </c>
      <c r="HX43" s="12">
        <v>0</v>
      </c>
      <c r="HY43" s="12">
        <v>0</v>
      </c>
      <c r="HZ43" s="12">
        <v>0</v>
      </c>
      <c r="IA43" s="12">
        <v>0</v>
      </c>
      <c r="IB43" s="12">
        <v>3</v>
      </c>
      <c r="IC43" s="12">
        <v>0</v>
      </c>
      <c r="ID43" s="12">
        <v>3</v>
      </c>
      <c r="IE43" s="12">
        <v>0</v>
      </c>
      <c r="IF43" s="12">
        <v>0</v>
      </c>
      <c r="IG43" s="12">
        <v>0</v>
      </c>
      <c r="IH43" s="12">
        <v>0</v>
      </c>
      <c r="II43" s="12">
        <v>0</v>
      </c>
      <c r="IJ43" s="12">
        <v>0</v>
      </c>
      <c r="IK43" s="12">
        <v>0</v>
      </c>
      <c r="IL43" s="12">
        <v>0</v>
      </c>
      <c r="IM43" s="12">
        <v>0</v>
      </c>
      <c r="IN43" s="12">
        <v>0</v>
      </c>
      <c r="IO43" s="12">
        <v>0</v>
      </c>
      <c r="IP43" s="12">
        <v>0</v>
      </c>
      <c r="IQ43" s="12">
        <v>0</v>
      </c>
      <c r="IR43" s="12">
        <v>0</v>
      </c>
      <c r="IS43" s="12">
        <v>2</v>
      </c>
      <c r="IT43" s="12">
        <v>0</v>
      </c>
      <c r="IU43" s="12">
        <v>0</v>
      </c>
      <c r="IV43" s="12">
        <v>0</v>
      </c>
      <c r="IW43" s="12">
        <v>0</v>
      </c>
      <c r="IX43" s="11">
        <v>17800</v>
      </c>
      <c r="IY43" s="11">
        <v>17800</v>
      </c>
      <c r="IZ43" s="11">
        <v>17800</v>
      </c>
      <c r="JA43" s="85" t="s">
        <v>604</v>
      </c>
      <c r="JB43" s="85">
        <v>1</v>
      </c>
      <c r="JC43" s="85" t="s">
        <v>602</v>
      </c>
      <c r="JD43" s="12">
        <v>6</v>
      </c>
      <c r="JE43" s="12">
        <v>3</v>
      </c>
      <c r="JF43" s="12">
        <v>6</v>
      </c>
      <c r="JG43" s="12">
        <v>2</v>
      </c>
      <c r="JH43" s="12">
        <v>6</v>
      </c>
      <c r="JI43" s="12">
        <v>0</v>
      </c>
      <c r="JJ43" s="13" t="s">
        <v>620</v>
      </c>
      <c r="JK43" s="13" t="s">
        <v>619</v>
      </c>
      <c r="JL43" s="13" t="s">
        <v>297</v>
      </c>
      <c r="JM43" s="89"/>
      <c r="JN43" s="89"/>
      <c r="JO43" s="89" t="s">
        <v>296</v>
      </c>
      <c r="JP43" s="89"/>
      <c r="JQ43" s="89"/>
      <c r="JR43" s="89" t="s">
        <v>296</v>
      </c>
      <c r="JS43" s="89" t="s">
        <v>620</v>
      </c>
      <c r="JT43" s="89" t="s">
        <v>619</v>
      </c>
      <c r="JU43" s="89" t="s">
        <v>296</v>
      </c>
      <c r="JV43" s="89"/>
      <c r="JW43" s="89"/>
      <c r="JX43" s="89" t="s">
        <v>296</v>
      </c>
      <c r="JY43" s="12" t="s">
        <v>34</v>
      </c>
      <c r="JZ43" s="12" t="s">
        <v>34</v>
      </c>
      <c r="KA43" s="12" t="s">
        <v>619</v>
      </c>
      <c r="KB43" s="12" t="s">
        <v>34</v>
      </c>
      <c r="KC43" s="12" t="s">
        <v>619</v>
      </c>
      <c r="KD43" s="12" t="s">
        <v>34</v>
      </c>
      <c r="KE43" s="12" t="s">
        <v>34</v>
      </c>
      <c r="KF43" s="12"/>
      <c r="KG43" s="12" t="s">
        <v>34</v>
      </c>
      <c r="KH43" s="12" t="s">
        <v>34</v>
      </c>
      <c r="KI43" s="12" t="s">
        <v>619</v>
      </c>
      <c r="KJ43" s="12" t="s">
        <v>619</v>
      </c>
      <c r="KK43" s="12" t="s">
        <v>34</v>
      </c>
      <c r="KL43" s="12" t="s">
        <v>34</v>
      </c>
      <c r="KM43" s="12" t="s">
        <v>34</v>
      </c>
      <c r="KN43" s="12" t="s">
        <v>619</v>
      </c>
      <c r="KO43" s="12" t="s">
        <v>619</v>
      </c>
      <c r="KP43" s="12" t="s">
        <v>34</v>
      </c>
      <c r="KQ43" s="12" t="s">
        <v>619</v>
      </c>
      <c r="KR43" s="12" t="s">
        <v>619</v>
      </c>
      <c r="KS43" s="12" t="s">
        <v>34</v>
      </c>
      <c r="KT43" s="12" t="s">
        <v>34</v>
      </c>
      <c r="KU43" s="12" t="s">
        <v>34</v>
      </c>
      <c r="KV43" s="12" t="s">
        <v>34</v>
      </c>
      <c r="KW43" s="12" t="s">
        <v>34</v>
      </c>
      <c r="KX43" s="12" t="s">
        <v>34</v>
      </c>
      <c r="KY43" s="12" t="s">
        <v>34</v>
      </c>
      <c r="KZ43" s="12" t="s">
        <v>34</v>
      </c>
      <c r="LA43" s="12" t="s">
        <v>34</v>
      </c>
      <c r="LB43" s="12" t="s">
        <v>619</v>
      </c>
      <c r="LC43" s="12" t="s">
        <v>34</v>
      </c>
      <c r="LD43" s="12" t="s">
        <v>619</v>
      </c>
      <c r="LE43" s="12" t="s">
        <v>619</v>
      </c>
      <c r="LF43" s="12" t="s">
        <v>34</v>
      </c>
      <c r="LG43" s="12" t="s">
        <v>34</v>
      </c>
      <c r="LH43" s="12" t="s">
        <v>34</v>
      </c>
      <c r="LI43" s="12" t="s">
        <v>34</v>
      </c>
      <c r="LJ43" s="12" t="s">
        <v>34</v>
      </c>
      <c r="LK43" s="12" t="s">
        <v>34</v>
      </c>
      <c r="LL43" s="13" t="s">
        <v>34</v>
      </c>
      <c r="LM43" s="13" t="s">
        <v>34</v>
      </c>
      <c r="LN43" s="13" t="s">
        <v>34</v>
      </c>
      <c r="LO43" s="13" t="s">
        <v>34</v>
      </c>
      <c r="LP43" s="90" t="s">
        <v>34</v>
      </c>
      <c r="LQ43" s="13" t="s">
        <v>34</v>
      </c>
      <c r="LR43" s="13" t="s">
        <v>34</v>
      </c>
      <c r="LS43" s="13"/>
      <c r="LT43" s="13" t="s">
        <v>34</v>
      </c>
      <c r="LU43" s="13" t="s">
        <v>34</v>
      </c>
      <c r="LV43" s="13" t="s">
        <v>34</v>
      </c>
      <c r="LW43" s="13" t="s">
        <v>34</v>
      </c>
      <c r="LX43" s="13" t="s">
        <v>34</v>
      </c>
      <c r="LY43" s="13" t="s">
        <v>34</v>
      </c>
      <c r="LZ43" s="13" t="s">
        <v>34</v>
      </c>
      <c r="MA43" s="13" t="s">
        <v>34</v>
      </c>
      <c r="MB43" s="13" t="s">
        <v>34</v>
      </c>
      <c r="MC43" s="13" t="s">
        <v>34</v>
      </c>
      <c r="MD43" s="13" t="s">
        <v>34</v>
      </c>
      <c r="ME43" s="13" t="s">
        <v>34</v>
      </c>
      <c r="MF43" s="13" t="s">
        <v>34</v>
      </c>
      <c r="MG43" s="13" t="s">
        <v>34</v>
      </c>
      <c r="MH43" s="13" t="s">
        <v>34</v>
      </c>
      <c r="MI43" s="13" t="s">
        <v>34</v>
      </c>
      <c r="MJ43" s="13" t="s">
        <v>34</v>
      </c>
      <c r="MK43" s="13" t="s">
        <v>34</v>
      </c>
      <c r="ML43" s="13" t="s">
        <v>34</v>
      </c>
      <c r="MM43" s="13" t="s">
        <v>34</v>
      </c>
      <c r="MN43" s="13" t="s">
        <v>34</v>
      </c>
      <c r="MO43" s="13" t="s">
        <v>34</v>
      </c>
      <c r="MP43" s="13" t="s">
        <v>34</v>
      </c>
      <c r="MQ43" s="13" t="s">
        <v>34</v>
      </c>
      <c r="MR43" s="13" t="s">
        <v>34</v>
      </c>
      <c r="MS43" s="13" t="s">
        <v>34</v>
      </c>
      <c r="MT43" s="13" t="s">
        <v>34</v>
      </c>
      <c r="MU43" s="13" t="s">
        <v>34</v>
      </c>
      <c r="MV43" s="13" t="s">
        <v>34</v>
      </c>
      <c r="MW43" s="13" t="s">
        <v>34</v>
      </c>
      <c r="MX43" s="13" t="s">
        <v>34</v>
      </c>
      <c r="MY43" s="28" t="s">
        <v>296</v>
      </c>
      <c r="MZ43" s="28" t="s">
        <v>296</v>
      </c>
      <c r="NA43" s="28" t="s">
        <v>297</v>
      </c>
      <c r="NB43" s="28" t="s">
        <v>296</v>
      </c>
      <c r="NC43" s="28" t="s">
        <v>296</v>
      </c>
      <c r="ND43" s="28" t="s">
        <v>296</v>
      </c>
      <c r="NE43" s="28" t="s">
        <v>296</v>
      </c>
      <c r="NF43" s="28" t="s">
        <v>297</v>
      </c>
      <c r="NG43" s="28" t="s">
        <v>297</v>
      </c>
      <c r="NH43" s="28" t="s">
        <v>297</v>
      </c>
      <c r="NI43" s="177" t="s">
        <v>296</v>
      </c>
      <c r="NJ43" s="177" t="s">
        <v>297</v>
      </c>
      <c r="NK43" s="177" t="s">
        <v>296</v>
      </c>
      <c r="NL43" s="177" t="s">
        <v>296</v>
      </c>
      <c r="NM43" s="177" t="s">
        <v>296</v>
      </c>
      <c r="NN43" s="177" t="s">
        <v>296</v>
      </c>
      <c r="NO43" s="177" t="s">
        <v>296</v>
      </c>
      <c r="NP43" s="177" t="s">
        <v>296</v>
      </c>
      <c r="NQ43" s="177" t="s">
        <v>296</v>
      </c>
      <c r="NR43" s="12" t="s">
        <v>619</v>
      </c>
      <c r="NS43" s="13" t="s">
        <v>34</v>
      </c>
    </row>
    <row r="44" spans="1:383" x14ac:dyDescent="0.25">
      <c r="A44" s="8" t="s">
        <v>127</v>
      </c>
      <c r="B44" s="9" t="s">
        <v>128</v>
      </c>
      <c r="C44" s="9">
        <v>84</v>
      </c>
      <c r="D44" s="9" t="s">
        <v>33</v>
      </c>
      <c r="E44" s="10">
        <v>115</v>
      </c>
      <c r="F44" s="10">
        <v>110</v>
      </c>
      <c r="G44" s="10">
        <v>109</v>
      </c>
      <c r="H44" s="10">
        <v>103</v>
      </c>
      <c r="I44" s="10">
        <v>47</v>
      </c>
      <c r="J44" s="11">
        <v>571</v>
      </c>
      <c r="K44" s="11">
        <v>574</v>
      </c>
      <c r="L44" s="11">
        <v>588</v>
      </c>
      <c r="M44" s="11">
        <v>546</v>
      </c>
      <c r="N44" s="11">
        <v>183</v>
      </c>
      <c r="O44" s="13">
        <v>8276</v>
      </c>
      <c r="P44" s="13">
        <v>8076</v>
      </c>
      <c r="Q44" s="13">
        <v>8086</v>
      </c>
      <c r="R44" s="13">
        <v>7176</v>
      </c>
      <c r="S44" s="13">
        <v>2644</v>
      </c>
      <c r="T44" s="12">
        <v>2971</v>
      </c>
      <c r="U44" s="12">
        <v>3130</v>
      </c>
      <c r="V44" s="12">
        <v>3093</v>
      </c>
      <c r="W44" s="12">
        <v>2612</v>
      </c>
      <c r="X44" s="12">
        <v>215</v>
      </c>
      <c r="Y44" s="12">
        <v>7</v>
      </c>
      <c r="Z44" s="12">
        <v>7</v>
      </c>
      <c r="AA44" s="12">
        <v>7</v>
      </c>
      <c r="AB44" s="13">
        <v>7</v>
      </c>
      <c r="AC44" s="13">
        <v>7</v>
      </c>
      <c r="AD44" s="13">
        <v>7</v>
      </c>
      <c r="AE44" s="35" t="s">
        <v>258</v>
      </c>
      <c r="AF44" s="35" t="s">
        <v>258</v>
      </c>
      <c r="AG44" s="35" t="s">
        <v>258</v>
      </c>
      <c r="AH44" s="38">
        <v>0.75</v>
      </c>
      <c r="AI44" s="38">
        <v>1</v>
      </c>
      <c r="AJ44" s="38">
        <v>1</v>
      </c>
      <c r="AK44" s="45" t="s">
        <v>34</v>
      </c>
      <c r="AL44" s="45" t="s">
        <v>34</v>
      </c>
      <c r="AM44" s="45" t="s">
        <v>34</v>
      </c>
      <c r="AN44" s="45" t="s">
        <v>34</v>
      </c>
      <c r="AO44" s="45" t="s">
        <v>34</v>
      </c>
      <c r="AP44" s="45" t="s">
        <v>292</v>
      </c>
      <c r="AQ44" s="53" t="s">
        <v>297</v>
      </c>
      <c r="AR44" s="56">
        <v>371</v>
      </c>
      <c r="AS44" s="57">
        <v>139</v>
      </c>
      <c r="AT44" s="56">
        <v>83</v>
      </c>
      <c r="AU44" s="57">
        <v>31992</v>
      </c>
      <c r="AV44" s="57">
        <v>11898</v>
      </c>
      <c r="AW44" s="57">
        <v>6016</v>
      </c>
      <c r="AX44" s="57">
        <v>9</v>
      </c>
      <c r="AY44" s="57">
        <v>1</v>
      </c>
      <c r="AZ44" s="57">
        <v>8</v>
      </c>
      <c r="BA44" s="57">
        <v>6028</v>
      </c>
      <c r="BB44" s="57">
        <v>6057</v>
      </c>
      <c r="BC44" s="57">
        <v>6600</v>
      </c>
      <c r="BD44" s="57">
        <v>1643</v>
      </c>
      <c r="BE44" s="57">
        <v>2091</v>
      </c>
      <c r="BF44" s="57">
        <v>1907</v>
      </c>
      <c r="BG44" s="57">
        <v>491</v>
      </c>
      <c r="BH44" s="57">
        <v>1735</v>
      </c>
      <c r="BI44" s="57">
        <v>1527</v>
      </c>
      <c r="BJ44" s="57" t="s">
        <v>297</v>
      </c>
      <c r="BK44" s="57">
        <v>18</v>
      </c>
      <c r="BL44" s="57">
        <v>0</v>
      </c>
      <c r="BM44" s="57">
        <v>0</v>
      </c>
      <c r="BN44" s="57">
        <v>400</v>
      </c>
      <c r="BO44" s="57">
        <v>1100</v>
      </c>
      <c r="BP44" s="57">
        <v>1209</v>
      </c>
      <c r="BQ44" s="76">
        <v>513</v>
      </c>
      <c r="BR44" s="76">
        <v>492</v>
      </c>
      <c r="BS44">
        <v>471</v>
      </c>
      <c r="BT44">
        <v>471</v>
      </c>
      <c r="BU44">
        <v>470</v>
      </c>
      <c r="BV44">
        <v>61143</v>
      </c>
      <c r="BW44">
        <v>61042</v>
      </c>
      <c r="BX44">
        <v>60867</v>
      </c>
      <c r="BY44">
        <v>60227</v>
      </c>
      <c r="BZ44">
        <v>59479</v>
      </c>
      <c r="CA44">
        <v>167</v>
      </c>
      <c r="CB44">
        <v>156</v>
      </c>
      <c r="CC44">
        <v>162</v>
      </c>
      <c r="CD44">
        <v>150</v>
      </c>
      <c r="CE44">
        <v>52</v>
      </c>
      <c r="CF44">
        <v>11247</v>
      </c>
      <c r="CG44">
        <v>11206</v>
      </c>
      <c r="CH44">
        <v>11179</v>
      </c>
      <c r="CI44">
        <v>9788</v>
      </c>
      <c r="CJ44">
        <v>2859</v>
      </c>
      <c r="CK44" s="10">
        <v>22.9</v>
      </c>
      <c r="CL44" s="10">
        <v>22.9</v>
      </c>
      <c r="CM44" s="10">
        <v>22.9</v>
      </c>
      <c r="CN44" s="11">
        <v>21.68</v>
      </c>
      <c r="CO44" s="11">
        <v>21.68</v>
      </c>
      <c r="CP44" s="11">
        <v>21.68</v>
      </c>
      <c r="CQ44" s="13">
        <v>45</v>
      </c>
      <c r="CR44" s="13">
        <v>19</v>
      </c>
      <c r="CS44" s="13">
        <v>0</v>
      </c>
      <c r="CT44" s="10">
        <v>0</v>
      </c>
      <c r="CU44" s="10">
        <v>0</v>
      </c>
      <c r="CV44" s="10">
        <v>29</v>
      </c>
      <c r="CW44" s="10">
        <v>56</v>
      </c>
      <c r="CX44" s="10">
        <v>2</v>
      </c>
      <c r="CY44" s="10">
        <v>0</v>
      </c>
      <c r="CZ44" s="10">
        <v>0</v>
      </c>
      <c r="DA44" s="10">
        <v>2</v>
      </c>
      <c r="DB44" s="10">
        <v>0</v>
      </c>
      <c r="DC44" s="10">
        <v>0</v>
      </c>
      <c r="DD44" s="10">
        <v>1</v>
      </c>
      <c r="DE44" s="10">
        <v>0</v>
      </c>
      <c r="DF44" s="10">
        <v>7</v>
      </c>
      <c r="DG44" s="10">
        <v>0</v>
      </c>
      <c r="DH44" s="10">
        <v>4</v>
      </c>
      <c r="DI44" s="81">
        <v>9</v>
      </c>
      <c r="DJ44" s="81">
        <v>10</v>
      </c>
      <c r="DK44" s="81">
        <v>18</v>
      </c>
      <c r="DL44" s="81">
        <v>1</v>
      </c>
      <c r="DM44" s="81">
        <v>23</v>
      </c>
      <c r="DN44" s="12">
        <v>12</v>
      </c>
      <c r="DO44" s="12">
        <v>1</v>
      </c>
      <c r="DP44" s="12">
        <v>13</v>
      </c>
      <c r="DQ44" s="12">
        <v>5</v>
      </c>
      <c r="DR44" s="12">
        <v>0</v>
      </c>
      <c r="DS44" s="12">
        <v>0</v>
      </c>
      <c r="DT44" s="12">
        <v>0</v>
      </c>
      <c r="DU44" s="12">
        <v>0</v>
      </c>
      <c r="DV44" s="12">
        <v>6</v>
      </c>
      <c r="DW44" s="12">
        <v>2</v>
      </c>
      <c r="DX44" s="12">
        <v>3</v>
      </c>
      <c r="DY44" s="12">
        <v>5</v>
      </c>
      <c r="DZ44" s="12">
        <v>18</v>
      </c>
      <c r="EA44" s="12">
        <v>0</v>
      </c>
      <c r="EB44" s="12">
        <v>38</v>
      </c>
      <c r="EC44" s="12">
        <v>3</v>
      </c>
      <c r="ED44" s="12">
        <v>8</v>
      </c>
      <c r="EE44" s="12">
        <v>12</v>
      </c>
      <c r="EF44" s="12">
        <v>10</v>
      </c>
      <c r="EG44" s="12">
        <v>0</v>
      </c>
      <c r="EH44" s="12">
        <v>0</v>
      </c>
      <c r="EI44" s="12">
        <v>1</v>
      </c>
      <c r="EJ44" s="12">
        <v>8</v>
      </c>
      <c r="EK44" s="12">
        <v>1</v>
      </c>
      <c r="EL44" s="12">
        <v>2</v>
      </c>
      <c r="EM44" s="12">
        <v>2</v>
      </c>
      <c r="EN44" s="12">
        <v>7</v>
      </c>
      <c r="EO44" s="12">
        <v>4</v>
      </c>
      <c r="EP44" s="12">
        <v>1</v>
      </c>
      <c r="EQ44" s="12">
        <v>4</v>
      </c>
      <c r="ER44" s="12">
        <v>0</v>
      </c>
      <c r="ES44" s="13">
        <v>8</v>
      </c>
      <c r="ET44" s="13">
        <v>11</v>
      </c>
      <c r="EU44" s="13">
        <v>0</v>
      </c>
      <c r="EV44" s="10">
        <v>0</v>
      </c>
      <c r="EW44" s="10">
        <v>0</v>
      </c>
      <c r="EX44" s="10">
        <v>2</v>
      </c>
      <c r="EY44" s="10">
        <v>8</v>
      </c>
      <c r="EZ44" s="10">
        <v>1</v>
      </c>
      <c r="FA44" s="10">
        <v>0</v>
      </c>
      <c r="FB44" s="10">
        <v>0</v>
      </c>
      <c r="FC44" s="10">
        <v>0</v>
      </c>
      <c r="FD44" s="10">
        <v>0</v>
      </c>
      <c r="FE44" s="10">
        <v>0</v>
      </c>
      <c r="FF44" s="10">
        <v>0</v>
      </c>
      <c r="FG44" s="10">
        <v>0</v>
      </c>
      <c r="FH44" s="10">
        <v>1</v>
      </c>
      <c r="FI44" s="10">
        <v>0</v>
      </c>
      <c r="FJ44" s="10">
        <v>0</v>
      </c>
      <c r="FK44" s="81">
        <v>4</v>
      </c>
      <c r="FL44" s="81">
        <v>7</v>
      </c>
      <c r="FM44" s="81">
        <v>2</v>
      </c>
      <c r="FN44" s="81">
        <v>1</v>
      </c>
      <c r="FO44" s="81">
        <v>13</v>
      </c>
      <c r="FP44" s="12">
        <v>3</v>
      </c>
      <c r="FQ44" s="12">
        <v>0</v>
      </c>
      <c r="FR44" s="12">
        <v>3</v>
      </c>
      <c r="FS44" s="12">
        <v>1</v>
      </c>
      <c r="FT44" s="12">
        <v>0</v>
      </c>
      <c r="FU44" s="12">
        <v>0</v>
      </c>
      <c r="FV44" s="12">
        <v>0</v>
      </c>
      <c r="FW44" s="12">
        <v>0</v>
      </c>
      <c r="FX44" s="12">
        <v>3</v>
      </c>
      <c r="FY44" s="12">
        <v>0</v>
      </c>
      <c r="FZ44" s="12">
        <v>2</v>
      </c>
      <c r="GA44" s="12">
        <v>2</v>
      </c>
      <c r="GB44" s="12">
        <v>6</v>
      </c>
      <c r="GC44" s="12">
        <v>0</v>
      </c>
      <c r="GD44" s="12">
        <v>10</v>
      </c>
      <c r="GE44" s="12">
        <v>0</v>
      </c>
      <c r="GF44" s="12">
        <v>4</v>
      </c>
      <c r="GG44" s="12">
        <v>5</v>
      </c>
      <c r="GH44" s="12">
        <v>0</v>
      </c>
      <c r="GI44" s="12">
        <v>0</v>
      </c>
      <c r="GJ44" s="12">
        <v>0</v>
      </c>
      <c r="GK44" s="12">
        <v>0</v>
      </c>
      <c r="GL44" s="12">
        <v>1</v>
      </c>
      <c r="GM44" s="12">
        <v>0</v>
      </c>
      <c r="GN44" s="12">
        <v>4</v>
      </c>
      <c r="GO44" s="12">
        <v>0</v>
      </c>
      <c r="GP44" s="12">
        <v>0</v>
      </c>
      <c r="GQ44" s="12">
        <v>0</v>
      </c>
      <c r="GR44" s="12">
        <v>0</v>
      </c>
      <c r="GS44" s="12">
        <v>2</v>
      </c>
      <c r="GT44" s="12">
        <v>0</v>
      </c>
      <c r="GU44" s="13">
        <v>139</v>
      </c>
      <c r="GV44" s="13">
        <v>18</v>
      </c>
      <c r="GW44" s="13">
        <v>9</v>
      </c>
      <c r="GX44" s="13">
        <v>0</v>
      </c>
      <c r="GY44" s="10">
        <v>0</v>
      </c>
      <c r="GZ44" s="10">
        <v>0</v>
      </c>
      <c r="HA44" s="10">
        <v>9</v>
      </c>
      <c r="HB44" s="10">
        <v>23</v>
      </c>
      <c r="HC44" s="10">
        <v>3</v>
      </c>
      <c r="HD44" s="10">
        <v>0</v>
      </c>
      <c r="HE44" s="10">
        <v>0</v>
      </c>
      <c r="HF44" s="10">
        <v>0</v>
      </c>
      <c r="HG44" s="10">
        <v>0</v>
      </c>
      <c r="HH44" s="10">
        <v>1</v>
      </c>
      <c r="HI44" s="10">
        <v>0</v>
      </c>
      <c r="HJ44" s="10">
        <v>0</v>
      </c>
      <c r="HK44" s="10">
        <v>1</v>
      </c>
      <c r="HL44" s="10">
        <v>0</v>
      </c>
      <c r="HM44" s="10">
        <v>1</v>
      </c>
      <c r="HN44" s="81">
        <v>0</v>
      </c>
      <c r="HO44" s="81">
        <v>0</v>
      </c>
      <c r="HP44" s="81">
        <v>2</v>
      </c>
      <c r="HQ44" s="81">
        <v>0</v>
      </c>
      <c r="HR44" s="81">
        <v>1</v>
      </c>
      <c r="HS44" s="12">
        <v>0</v>
      </c>
      <c r="HT44" s="12">
        <v>0</v>
      </c>
      <c r="HU44" s="12">
        <v>2</v>
      </c>
      <c r="HV44" s="12">
        <v>2</v>
      </c>
      <c r="HW44" s="12">
        <v>0</v>
      </c>
      <c r="HX44" s="12">
        <v>0</v>
      </c>
      <c r="HY44" s="12">
        <v>0</v>
      </c>
      <c r="HZ44" s="12">
        <v>1</v>
      </c>
      <c r="IA44" s="12">
        <v>0</v>
      </c>
      <c r="IB44" s="12">
        <v>2</v>
      </c>
      <c r="IC44" s="12">
        <v>3</v>
      </c>
      <c r="ID44" s="12">
        <v>0</v>
      </c>
      <c r="IE44" s="12">
        <v>0</v>
      </c>
      <c r="IF44" s="12">
        <v>0</v>
      </c>
      <c r="IG44" s="12">
        <v>1</v>
      </c>
      <c r="IH44" s="12">
        <v>0</v>
      </c>
      <c r="II44" s="12">
        <v>1</v>
      </c>
      <c r="IJ44" s="12">
        <v>0</v>
      </c>
      <c r="IK44" s="12">
        <v>0</v>
      </c>
      <c r="IL44" s="12">
        <v>1</v>
      </c>
      <c r="IM44" s="12">
        <v>0</v>
      </c>
      <c r="IN44" s="12">
        <v>0</v>
      </c>
      <c r="IO44" s="12">
        <v>1</v>
      </c>
      <c r="IP44" s="12">
        <v>0</v>
      </c>
      <c r="IQ44" s="12">
        <v>0</v>
      </c>
      <c r="IR44" s="12">
        <v>0</v>
      </c>
      <c r="IS44" s="12">
        <v>0</v>
      </c>
      <c r="IT44" s="12">
        <v>0</v>
      </c>
      <c r="IU44" s="12">
        <v>0</v>
      </c>
      <c r="IV44" s="12">
        <v>1</v>
      </c>
      <c r="IW44" s="12">
        <v>0</v>
      </c>
      <c r="IX44" s="11">
        <v>26500</v>
      </c>
      <c r="IY44" s="11">
        <v>22900</v>
      </c>
      <c r="IZ44" s="11">
        <v>26500</v>
      </c>
      <c r="JA44" s="85">
        <v>1</v>
      </c>
      <c r="JB44" s="85" t="s">
        <v>602</v>
      </c>
      <c r="JC44" s="85">
        <v>1</v>
      </c>
      <c r="JD44" s="12">
        <v>15</v>
      </c>
      <c r="JE44" s="12">
        <v>5</v>
      </c>
      <c r="JF44" s="12">
        <v>14</v>
      </c>
      <c r="JG44" s="12">
        <v>2</v>
      </c>
      <c r="JH44" s="12">
        <v>14</v>
      </c>
      <c r="JI44" s="12">
        <v>4</v>
      </c>
      <c r="JJ44" s="13" t="s">
        <v>619</v>
      </c>
      <c r="JK44" s="13" t="s">
        <v>620</v>
      </c>
      <c r="JL44" s="13" t="s">
        <v>296</v>
      </c>
      <c r="JM44" s="89"/>
      <c r="JN44" s="89"/>
      <c r="JO44" s="89" t="s">
        <v>296</v>
      </c>
      <c r="JP44" s="89"/>
      <c r="JQ44" s="89"/>
      <c r="JR44" s="89" t="s">
        <v>296</v>
      </c>
      <c r="JS44" s="89" t="s">
        <v>620</v>
      </c>
      <c r="JT44" s="89" t="s">
        <v>619</v>
      </c>
      <c r="JU44" s="89" t="s">
        <v>296</v>
      </c>
      <c r="JV44" s="89"/>
      <c r="JW44" s="89"/>
      <c r="JX44" s="89" t="s">
        <v>296</v>
      </c>
      <c r="JY44" s="12" t="s">
        <v>34</v>
      </c>
      <c r="JZ44" s="12" t="s">
        <v>34</v>
      </c>
      <c r="KA44" s="12" t="s">
        <v>34</v>
      </c>
      <c r="KB44" s="12" t="s">
        <v>34</v>
      </c>
      <c r="KC44" s="12" t="s">
        <v>619</v>
      </c>
      <c r="KD44" s="12" t="s">
        <v>34</v>
      </c>
      <c r="KE44" s="12" t="s">
        <v>34</v>
      </c>
      <c r="KF44" s="12"/>
      <c r="KG44" s="12" t="s">
        <v>619</v>
      </c>
      <c r="KH44" s="12" t="s">
        <v>34</v>
      </c>
      <c r="KI44" s="12" t="s">
        <v>34</v>
      </c>
      <c r="KJ44" s="12" t="s">
        <v>34</v>
      </c>
      <c r="KK44" s="12" t="s">
        <v>34</v>
      </c>
      <c r="KL44" s="12" t="s">
        <v>34</v>
      </c>
      <c r="KM44" s="12" t="s">
        <v>34</v>
      </c>
      <c r="KN44" s="12" t="s">
        <v>619</v>
      </c>
      <c r="KO44" s="12" t="s">
        <v>619</v>
      </c>
      <c r="KP44" s="12" t="s">
        <v>34</v>
      </c>
      <c r="KQ44" s="12" t="s">
        <v>34</v>
      </c>
      <c r="KR44" s="12" t="s">
        <v>619</v>
      </c>
      <c r="KS44" s="12" t="s">
        <v>34</v>
      </c>
      <c r="KT44" s="12" t="s">
        <v>34</v>
      </c>
      <c r="KU44" s="12" t="s">
        <v>34</v>
      </c>
      <c r="KV44" s="12" t="s">
        <v>34</v>
      </c>
      <c r="KW44" s="12" t="s">
        <v>34</v>
      </c>
      <c r="KX44" s="12" t="s">
        <v>34</v>
      </c>
      <c r="KY44" s="12" t="s">
        <v>34</v>
      </c>
      <c r="KZ44" s="12" t="s">
        <v>34</v>
      </c>
      <c r="LA44" s="12" t="s">
        <v>34</v>
      </c>
      <c r="LB44" s="12" t="s">
        <v>34</v>
      </c>
      <c r="LC44" s="12" t="s">
        <v>34</v>
      </c>
      <c r="LD44" s="12" t="s">
        <v>619</v>
      </c>
      <c r="LE44" s="12" t="s">
        <v>34</v>
      </c>
      <c r="LF44" s="12" t="s">
        <v>34</v>
      </c>
      <c r="LG44" s="12" t="s">
        <v>34</v>
      </c>
      <c r="LH44" s="12" t="s">
        <v>34</v>
      </c>
      <c r="LI44" s="12" t="s">
        <v>34</v>
      </c>
      <c r="LJ44" s="12" t="s">
        <v>34</v>
      </c>
      <c r="LK44" s="12" t="s">
        <v>619</v>
      </c>
      <c r="LL44" s="13" t="s">
        <v>34</v>
      </c>
      <c r="LM44" s="13" t="s">
        <v>34</v>
      </c>
      <c r="LN44" s="13" t="s">
        <v>34</v>
      </c>
      <c r="LO44" s="13" t="s">
        <v>34</v>
      </c>
      <c r="LP44" s="90" t="s">
        <v>34</v>
      </c>
      <c r="LQ44" s="13" t="s">
        <v>34</v>
      </c>
      <c r="LR44" s="13" t="s">
        <v>34</v>
      </c>
      <c r="LS44" s="13"/>
      <c r="LT44" s="13" t="s">
        <v>34</v>
      </c>
      <c r="LU44" s="13" t="s">
        <v>34</v>
      </c>
      <c r="LV44" s="13" t="s">
        <v>34</v>
      </c>
      <c r="LW44" s="13" t="s">
        <v>34</v>
      </c>
      <c r="LX44" s="13" t="s">
        <v>34</v>
      </c>
      <c r="LY44" s="13" t="s">
        <v>34</v>
      </c>
      <c r="LZ44" s="13" t="s">
        <v>34</v>
      </c>
      <c r="MA44" s="13" t="s">
        <v>34</v>
      </c>
      <c r="MB44" s="13" t="s">
        <v>34</v>
      </c>
      <c r="MC44" s="13" t="s">
        <v>34</v>
      </c>
      <c r="MD44" s="13" t="s">
        <v>34</v>
      </c>
      <c r="ME44" s="13" t="s">
        <v>619</v>
      </c>
      <c r="MF44" s="13" t="s">
        <v>34</v>
      </c>
      <c r="MG44" s="13" t="s">
        <v>34</v>
      </c>
      <c r="MH44" s="13" t="s">
        <v>34</v>
      </c>
      <c r="MI44" s="13" t="s">
        <v>34</v>
      </c>
      <c r="MJ44" s="13" t="s">
        <v>34</v>
      </c>
      <c r="MK44" s="13" t="s">
        <v>34</v>
      </c>
      <c r="ML44" s="13" t="s">
        <v>34</v>
      </c>
      <c r="MM44" s="13" t="s">
        <v>34</v>
      </c>
      <c r="MN44" s="13" t="s">
        <v>34</v>
      </c>
      <c r="MO44" s="13" t="s">
        <v>34</v>
      </c>
      <c r="MP44" s="13" t="s">
        <v>619</v>
      </c>
      <c r="MQ44" s="13" t="s">
        <v>619</v>
      </c>
      <c r="MR44" s="13" t="s">
        <v>34</v>
      </c>
      <c r="MS44" s="13" t="s">
        <v>34</v>
      </c>
      <c r="MT44" s="13" t="s">
        <v>34</v>
      </c>
      <c r="MU44" s="13" t="s">
        <v>34</v>
      </c>
      <c r="MV44" s="13" t="s">
        <v>34</v>
      </c>
      <c r="MW44" s="13" t="s">
        <v>34</v>
      </c>
      <c r="MX44" s="13" t="s">
        <v>34</v>
      </c>
      <c r="MY44" s="28" t="s">
        <v>296</v>
      </c>
      <c r="MZ44" s="28" t="s">
        <v>296</v>
      </c>
      <c r="NA44" s="28" t="s">
        <v>296</v>
      </c>
      <c r="NB44" s="28" t="s">
        <v>296</v>
      </c>
      <c r="NC44" s="28" t="s">
        <v>296</v>
      </c>
      <c r="ND44" s="28" t="s">
        <v>296</v>
      </c>
      <c r="NE44" s="28" t="s">
        <v>296</v>
      </c>
      <c r="NF44" s="28" t="s">
        <v>296</v>
      </c>
      <c r="NG44" s="28" t="s">
        <v>297</v>
      </c>
      <c r="NH44" s="28" t="s">
        <v>296</v>
      </c>
      <c r="NI44" s="177" t="s">
        <v>296</v>
      </c>
      <c r="NJ44" s="177" t="s">
        <v>297</v>
      </c>
      <c r="NK44" s="177" t="s">
        <v>296</v>
      </c>
      <c r="NL44" s="177" t="s">
        <v>296</v>
      </c>
      <c r="NM44" s="177" t="s">
        <v>296</v>
      </c>
      <c r="NN44" s="177" t="s">
        <v>296</v>
      </c>
      <c r="NO44" s="177" t="s">
        <v>296</v>
      </c>
      <c r="NP44" s="177" t="s">
        <v>296</v>
      </c>
      <c r="NQ44" s="177" t="s">
        <v>296</v>
      </c>
      <c r="NR44" s="12" t="s">
        <v>34</v>
      </c>
      <c r="NS44" s="13" t="s">
        <v>34</v>
      </c>
    </row>
    <row r="45" spans="1:383" x14ac:dyDescent="0.25">
      <c r="A45" s="8" t="s">
        <v>129</v>
      </c>
      <c r="B45" s="9" t="s">
        <v>130</v>
      </c>
      <c r="C45" s="9">
        <v>84</v>
      </c>
      <c r="D45" s="9" t="s">
        <v>33</v>
      </c>
      <c r="E45" s="10">
        <v>54</v>
      </c>
      <c r="F45" s="10">
        <v>57</v>
      </c>
      <c r="G45" s="10">
        <v>63</v>
      </c>
      <c r="H45" s="10">
        <v>58</v>
      </c>
      <c r="I45" s="10">
        <v>53</v>
      </c>
      <c r="J45" s="11">
        <v>99</v>
      </c>
      <c r="K45" s="11">
        <v>110</v>
      </c>
      <c r="L45" s="11">
        <v>115</v>
      </c>
      <c r="M45" s="11">
        <v>111</v>
      </c>
      <c r="N45" s="11">
        <v>95</v>
      </c>
      <c r="O45" s="13">
        <v>1738</v>
      </c>
      <c r="P45" s="13">
        <v>2025</v>
      </c>
      <c r="Q45" s="13">
        <v>1986</v>
      </c>
      <c r="R45" s="13">
        <v>1879</v>
      </c>
      <c r="S45" s="13">
        <v>1731</v>
      </c>
      <c r="T45" s="12">
        <v>158</v>
      </c>
      <c r="U45" s="12">
        <v>214</v>
      </c>
      <c r="V45" s="12">
        <v>135</v>
      </c>
      <c r="W45" s="12">
        <v>175</v>
      </c>
      <c r="X45" s="12">
        <v>215</v>
      </c>
      <c r="Y45" s="12">
        <v>7.25</v>
      </c>
      <c r="Z45" s="12">
        <v>7.3</v>
      </c>
      <c r="AA45" s="12">
        <v>7.3</v>
      </c>
      <c r="AB45" s="13">
        <v>6.5</v>
      </c>
      <c r="AC45" s="13">
        <v>6.55</v>
      </c>
      <c r="AD45" s="13">
        <v>6.55</v>
      </c>
      <c r="AE45" s="35" t="s">
        <v>259</v>
      </c>
      <c r="AF45" s="35" t="s">
        <v>259</v>
      </c>
      <c r="AG45" s="35" t="s">
        <v>259</v>
      </c>
      <c r="AH45" s="38">
        <v>0.25</v>
      </c>
      <c r="AI45" s="38">
        <v>0.25</v>
      </c>
      <c r="AJ45" s="38">
        <v>0.25</v>
      </c>
      <c r="AK45" s="45" t="s">
        <v>34</v>
      </c>
      <c r="AL45" s="45" t="s">
        <v>34</v>
      </c>
      <c r="AM45" s="45" t="s">
        <v>34</v>
      </c>
      <c r="AN45" s="45" t="s">
        <v>34</v>
      </c>
      <c r="AO45" s="45" t="s">
        <v>34</v>
      </c>
      <c r="AP45" s="45" t="s">
        <v>292</v>
      </c>
      <c r="AQ45" s="53" t="s">
        <v>296</v>
      </c>
      <c r="AR45" s="56">
        <v>34</v>
      </c>
      <c r="AS45" s="57">
        <v>0</v>
      </c>
      <c r="AT45" s="56">
        <v>33</v>
      </c>
      <c r="AU45" s="57">
        <v>6294</v>
      </c>
      <c r="AV45" s="57">
        <v>0</v>
      </c>
      <c r="AW45" s="57">
        <v>3553</v>
      </c>
      <c r="AX45" s="57">
        <v>1</v>
      </c>
      <c r="AY45" s="57">
        <v>0</v>
      </c>
      <c r="AZ45" s="57">
        <v>0</v>
      </c>
      <c r="BA45" s="57">
        <v>762</v>
      </c>
      <c r="BB45" s="57">
        <v>3228</v>
      </c>
      <c r="BC45" s="57">
        <v>3364</v>
      </c>
      <c r="BD45" s="57">
        <v>0</v>
      </c>
      <c r="BE45" s="57">
        <v>0</v>
      </c>
      <c r="BF45" s="57">
        <v>0</v>
      </c>
      <c r="BG45" s="57">
        <v>725</v>
      </c>
      <c r="BH45" s="57">
        <v>1856</v>
      </c>
      <c r="BI45" s="57">
        <v>1611</v>
      </c>
      <c r="BJ45" s="57" t="s">
        <v>296</v>
      </c>
      <c r="BK45" s="57">
        <v>14</v>
      </c>
      <c r="BL45" s="57">
        <v>0</v>
      </c>
      <c r="BM45" s="57">
        <v>0</v>
      </c>
      <c r="BN45" s="57">
        <v>0</v>
      </c>
      <c r="BO45" s="57">
        <v>125</v>
      </c>
      <c r="BP45" s="57">
        <v>254</v>
      </c>
      <c r="BQ45" s="76">
        <v>185</v>
      </c>
      <c r="BR45" s="76">
        <v>184</v>
      </c>
      <c r="BS45">
        <v>180</v>
      </c>
      <c r="BT45">
        <v>180</v>
      </c>
      <c r="BU45">
        <v>180</v>
      </c>
      <c r="BV45">
        <v>14659</v>
      </c>
      <c r="BW45">
        <v>14342</v>
      </c>
      <c r="BX45">
        <v>14123</v>
      </c>
      <c r="BY45">
        <v>13808</v>
      </c>
      <c r="BZ45">
        <v>13577</v>
      </c>
      <c r="CA45">
        <v>70</v>
      </c>
      <c r="CB45">
        <v>83</v>
      </c>
      <c r="CC45">
        <v>85</v>
      </c>
      <c r="CD45">
        <v>91</v>
      </c>
      <c r="CE45">
        <v>69</v>
      </c>
      <c r="CF45">
        <v>1896</v>
      </c>
      <c r="CG45">
        <v>2239</v>
      </c>
      <c r="CH45">
        <v>2121</v>
      </c>
      <c r="CI45">
        <v>2054</v>
      </c>
      <c r="CJ45">
        <v>1946</v>
      </c>
      <c r="CK45" s="10">
        <v>41.5</v>
      </c>
      <c r="CL45" s="10">
        <v>41.5</v>
      </c>
      <c r="CM45" s="10">
        <v>41.5</v>
      </c>
      <c r="CN45" s="11">
        <v>18.45</v>
      </c>
      <c r="CO45" s="11">
        <v>18.5</v>
      </c>
      <c r="CP45" s="11">
        <v>18.5</v>
      </c>
      <c r="CQ45" s="13">
        <v>6</v>
      </c>
      <c r="CR45" s="13">
        <v>9</v>
      </c>
      <c r="CS45" s="13">
        <v>0</v>
      </c>
      <c r="CT45" s="10">
        <v>0</v>
      </c>
      <c r="CU45" s="10">
        <v>0</v>
      </c>
      <c r="CV45" s="10">
        <v>6</v>
      </c>
      <c r="CW45" s="10">
        <v>4</v>
      </c>
      <c r="CX45" s="10">
        <v>1</v>
      </c>
      <c r="CY45" s="10">
        <v>1</v>
      </c>
      <c r="CZ45" s="10">
        <v>0</v>
      </c>
      <c r="DA45" s="10">
        <v>0</v>
      </c>
      <c r="DB45" s="10">
        <v>2</v>
      </c>
      <c r="DC45" s="10">
        <v>0</v>
      </c>
      <c r="DD45" s="10">
        <v>0</v>
      </c>
      <c r="DE45" s="10">
        <v>0</v>
      </c>
      <c r="DF45" s="10">
        <v>0</v>
      </c>
      <c r="DG45" s="10">
        <v>0</v>
      </c>
      <c r="DH45" s="10">
        <v>0</v>
      </c>
      <c r="DI45" s="81">
        <v>0</v>
      </c>
      <c r="DJ45" s="81">
        <v>0</v>
      </c>
      <c r="DK45" s="81">
        <v>1</v>
      </c>
      <c r="DL45" s="81">
        <v>0</v>
      </c>
      <c r="DM45" s="81">
        <v>3</v>
      </c>
      <c r="DN45" s="12">
        <v>1</v>
      </c>
      <c r="DO45" s="12">
        <v>0</v>
      </c>
      <c r="DP45" s="12">
        <v>4</v>
      </c>
      <c r="DQ45" s="12">
        <v>3</v>
      </c>
      <c r="DR45" s="12">
        <v>3</v>
      </c>
      <c r="DS45" s="12">
        <v>0</v>
      </c>
      <c r="DT45" s="12">
        <v>0</v>
      </c>
      <c r="DU45" s="12">
        <v>0</v>
      </c>
      <c r="DV45" s="12">
        <v>3</v>
      </c>
      <c r="DW45" s="12">
        <v>7</v>
      </c>
      <c r="DX45" s="12">
        <v>4</v>
      </c>
      <c r="DY45" s="12">
        <v>3</v>
      </c>
      <c r="DZ45" s="12">
        <v>0</v>
      </c>
      <c r="EA45" s="12">
        <v>0</v>
      </c>
      <c r="EB45" s="12">
        <v>3</v>
      </c>
      <c r="EC45" s="12">
        <v>0</v>
      </c>
      <c r="ED45" s="12">
        <v>4</v>
      </c>
      <c r="EE45" s="12">
        <v>2</v>
      </c>
      <c r="EF45" s="12">
        <v>4</v>
      </c>
      <c r="EG45" s="12">
        <v>0</v>
      </c>
      <c r="EH45" s="12">
        <v>0</v>
      </c>
      <c r="EI45" s="12">
        <v>0</v>
      </c>
      <c r="EJ45" s="12">
        <v>3</v>
      </c>
      <c r="EK45" s="12">
        <v>0</v>
      </c>
      <c r="EL45" s="12">
        <v>7</v>
      </c>
      <c r="EM45" s="12">
        <v>0</v>
      </c>
      <c r="EN45" s="12">
        <v>3</v>
      </c>
      <c r="EO45" s="12">
        <v>0</v>
      </c>
      <c r="EP45" s="12">
        <v>3</v>
      </c>
      <c r="EQ45" s="12">
        <v>3</v>
      </c>
      <c r="ER45" s="12">
        <v>1</v>
      </c>
      <c r="ES45" s="13">
        <v>0</v>
      </c>
      <c r="ET45" s="13">
        <v>0</v>
      </c>
      <c r="EU45" s="13">
        <v>0</v>
      </c>
      <c r="EV45" s="10">
        <v>0</v>
      </c>
      <c r="EW45" s="10">
        <v>0</v>
      </c>
      <c r="EX45" s="10">
        <v>0</v>
      </c>
      <c r="EY45" s="10">
        <v>0</v>
      </c>
      <c r="EZ45" s="10">
        <v>0</v>
      </c>
      <c r="FA45" s="10">
        <v>0</v>
      </c>
      <c r="FB45" s="10">
        <v>0</v>
      </c>
      <c r="FC45" s="10">
        <v>0</v>
      </c>
      <c r="FD45" s="10">
        <v>0</v>
      </c>
      <c r="FE45" s="10">
        <v>0</v>
      </c>
      <c r="FF45" s="10">
        <v>0</v>
      </c>
      <c r="FG45" s="10">
        <v>0</v>
      </c>
      <c r="FH45" s="10">
        <v>0</v>
      </c>
      <c r="FI45" s="10">
        <v>0</v>
      </c>
      <c r="FJ45" s="10">
        <v>0</v>
      </c>
      <c r="FK45" s="81">
        <v>0</v>
      </c>
      <c r="FL45" s="81">
        <v>0</v>
      </c>
      <c r="FM45" s="81">
        <v>0</v>
      </c>
      <c r="FN45" s="81">
        <v>0</v>
      </c>
      <c r="FO45" s="81">
        <v>0</v>
      </c>
      <c r="FP45" s="12">
        <v>0</v>
      </c>
      <c r="FQ45" s="12">
        <v>0</v>
      </c>
      <c r="FR45" s="12">
        <v>0</v>
      </c>
      <c r="FS45" s="12">
        <v>0</v>
      </c>
      <c r="FT45" s="12">
        <v>0</v>
      </c>
      <c r="FU45" s="12">
        <v>0</v>
      </c>
      <c r="FV45" s="12">
        <v>0</v>
      </c>
      <c r="FW45" s="12">
        <v>0</v>
      </c>
      <c r="FX45" s="12">
        <v>0</v>
      </c>
      <c r="FY45" s="12">
        <v>0</v>
      </c>
      <c r="FZ45" s="12">
        <v>0</v>
      </c>
      <c r="GA45" s="12">
        <v>0</v>
      </c>
      <c r="GB45" s="12">
        <v>0</v>
      </c>
      <c r="GC45" s="12">
        <v>0</v>
      </c>
      <c r="GD45" s="12">
        <v>0</v>
      </c>
      <c r="GE45" s="12">
        <v>0</v>
      </c>
      <c r="GF45" s="12">
        <v>0</v>
      </c>
      <c r="GG45" s="12">
        <v>0</v>
      </c>
      <c r="GH45" s="12">
        <v>0</v>
      </c>
      <c r="GI45" s="12">
        <v>0</v>
      </c>
      <c r="GJ45" s="12">
        <v>0</v>
      </c>
      <c r="GK45" s="12">
        <v>0</v>
      </c>
      <c r="GL45" s="12">
        <v>0</v>
      </c>
      <c r="GM45" s="12">
        <v>0</v>
      </c>
      <c r="GN45" s="12">
        <v>0</v>
      </c>
      <c r="GO45" s="12">
        <v>0</v>
      </c>
      <c r="GP45" s="12">
        <v>0</v>
      </c>
      <c r="GQ45" s="12">
        <v>0</v>
      </c>
      <c r="GR45" s="12">
        <v>0</v>
      </c>
      <c r="GS45" s="12">
        <v>0</v>
      </c>
      <c r="GT45" s="12">
        <v>0</v>
      </c>
      <c r="GU45" s="13">
        <v>0</v>
      </c>
      <c r="GV45" s="13">
        <v>13</v>
      </c>
      <c r="GW45" s="13">
        <v>10</v>
      </c>
      <c r="GX45" s="13">
        <v>0</v>
      </c>
      <c r="GY45" s="10">
        <v>0</v>
      </c>
      <c r="GZ45" s="10">
        <v>0</v>
      </c>
      <c r="HA45" s="10">
        <v>2</v>
      </c>
      <c r="HB45" s="10">
        <v>5</v>
      </c>
      <c r="HC45" s="10">
        <v>0</v>
      </c>
      <c r="HD45" s="10">
        <v>0</v>
      </c>
      <c r="HE45" s="10">
        <v>0</v>
      </c>
      <c r="HF45" s="10">
        <v>0</v>
      </c>
      <c r="HG45" s="10">
        <v>0</v>
      </c>
      <c r="HH45" s="10">
        <v>0</v>
      </c>
      <c r="HI45" s="10">
        <v>0</v>
      </c>
      <c r="HJ45" s="10">
        <v>0</v>
      </c>
      <c r="HK45" s="10">
        <v>0</v>
      </c>
      <c r="HL45" s="10">
        <v>0</v>
      </c>
      <c r="HM45" s="10">
        <v>0</v>
      </c>
      <c r="HN45" s="81">
        <v>0</v>
      </c>
      <c r="HO45" s="81">
        <v>0</v>
      </c>
      <c r="HP45" s="81">
        <v>3</v>
      </c>
      <c r="HQ45" s="81">
        <v>0</v>
      </c>
      <c r="HR45" s="81">
        <v>0</v>
      </c>
      <c r="HS45" s="12">
        <v>0</v>
      </c>
      <c r="HT45" s="12">
        <v>0</v>
      </c>
      <c r="HU45" s="12">
        <v>0</v>
      </c>
      <c r="HV45" s="12">
        <v>0</v>
      </c>
      <c r="HW45" s="12">
        <v>0</v>
      </c>
      <c r="HX45" s="12">
        <v>0</v>
      </c>
      <c r="HY45" s="12">
        <v>0</v>
      </c>
      <c r="HZ45" s="12">
        <v>0</v>
      </c>
      <c r="IA45" s="12">
        <v>0</v>
      </c>
      <c r="IB45" s="12">
        <v>0</v>
      </c>
      <c r="IC45" s="12">
        <v>3</v>
      </c>
      <c r="ID45" s="12">
        <v>0</v>
      </c>
      <c r="IE45" s="12">
        <v>0</v>
      </c>
      <c r="IF45" s="12">
        <v>0</v>
      </c>
      <c r="IG45" s="12">
        <v>0</v>
      </c>
      <c r="IH45" s="12">
        <v>0</v>
      </c>
      <c r="II45" s="12">
        <v>0</v>
      </c>
      <c r="IJ45" s="12">
        <v>0</v>
      </c>
      <c r="IK45" s="12">
        <v>0</v>
      </c>
      <c r="IL45" s="12">
        <v>0</v>
      </c>
      <c r="IM45" s="12">
        <v>0</v>
      </c>
      <c r="IN45" s="12">
        <v>0</v>
      </c>
      <c r="IO45" s="12">
        <v>0</v>
      </c>
      <c r="IP45" s="12">
        <v>0</v>
      </c>
      <c r="IQ45" s="12">
        <v>0</v>
      </c>
      <c r="IR45" s="12">
        <v>0</v>
      </c>
      <c r="IS45" s="12">
        <v>5</v>
      </c>
      <c r="IT45" s="12">
        <v>0</v>
      </c>
      <c r="IU45" s="12">
        <v>0</v>
      </c>
      <c r="IV45" s="12">
        <v>1</v>
      </c>
      <c r="IW45" s="12">
        <v>0</v>
      </c>
      <c r="IX45" s="11">
        <v>3250</v>
      </c>
      <c r="IY45" s="11">
        <v>2000</v>
      </c>
      <c r="IZ45" s="11">
        <v>2500</v>
      </c>
      <c r="JA45" s="85">
        <v>0</v>
      </c>
      <c r="JB45" s="85">
        <v>1</v>
      </c>
      <c r="JC45" s="85">
        <v>0</v>
      </c>
      <c r="JD45" s="12">
        <v>5</v>
      </c>
      <c r="JE45" s="12">
        <v>5</v>
      </c>
      <c r="JF45" s="12">
        <v>5</v>
      </c>
      <c r="JG45" s="12">
        <v>5</v>
      </c>
      <c r="JH45" s="12">
        <v>5</v>
      </c>
      <c r="JI45" s="12">
        <v>5</v>
      </c>
      <c r="JJ45" s="13" t="s">
        <v>619</v>
      </c>
      <c r="JK45" s="13" t="s">
        <v>619</v>
      </c>
      <c r="JL45" s="13" t="s">
        <v>296</v>
      </c>
      <c r="JM45" s="89"/>
      <c r="JN45" s="89"/>
      <c r="JO45" s="89" t="s">
        <v>297</v>
      </c>
      <c r="JP45" s="89"/>
      <c r="JQ45" s="89"/>
      <c r="JR45" s="89" t="s">
        <v>296</v>
      </c>
      <c r="JS45" s="89" t="s">
        <v>619</v>
      </c>
      <c r="JT45" s="89" t="s">
        <v>619</v>
      </c>
      <c r="JU45" s="89" t="s">
        <v>296</v>
      </c>
      <c r="JV45" s="89"/>
      <c r="JW45" s="89"/>
      <c r="JX45" s="89" t="s">
        <v>297</v>
      </c>
      <c r="JY45" s="12" t="s">
        <v>34</v>
      </c>
      <c r="JZ45" s="12" t="s">
        <v>34</v>
      </c>
      <c r="KA45" s="12" t="s">
        <v>34</v>
      </c>
      <c r="KB45" s="12" t="s">
        <v>619</v>
      </c>
      <c r="KC45" s="12" t="s">
        <v>619</v>
      </c>
      <c r="KD45" s="12" t="s">
        <v>619</v>
      </c>
      <c r="KE45" s="12" t="s">
        <v>34</v>
      </c>
      <c r="KF45" s="12"/>
      <c r="KG45" s="12" t="s">
        <v>619</v>
      </c>
      <c r="KH45" s="12" t="s">
        <v>34</v>
      </c>
      <c r="KI45" s="12" t="s">
        <v>619</v>
      </c>
      <c r="KJ45" s="12" t="s">
        <v>619</v>
      </c>
      <c r="KK45" s="12" t="s">
        <v>34</v>
      </c>
      <c r="KL45" s="12" t="s">
        <v>34</v>
      </c>
      <c r="KM45" s="12" t="s">
        <v>34</v>
      </c>
      <c r="KN45" s="12" t="s">
        <v>619</v>
      </c>
      <c r="KO45" s="12" t="s">
        <v>619</v>
      </c>
      <c r="KP45" s="12" t="s">
        <v>34</v>
      </c>
      <c r="KQ45" s="12" t="s">
        <v>619</v>
      </c>
      <c r="KR45" s="12" t="s">
        <v>619</v>
      </c>
      <c r="KS45" s="12" t="s">
        <v>34</v>
      </c>
      <c r="KT45" s="12" t="s">
        <v>34</v>
      </c>
      <c r="KU45" s="12" t="s">
        <v>34</v>
      </c>
      <c r="KV45" s="12" t="s">
        <v>34</v>
      </c>
      <c r="KW45" s="12" t="s">
        <v>34</v>
      </c>
      <c r="KX45" s="12" t="s">
        <v>34</v>
      </c>
      <c r="KY45" s="12" t="s">
        <v>619</v>
      </c>
      <c r="KZ45" s="12" t="s">
        <v>34</v>
      </c>
      <c r="LA45" s="12" t="s">
        <v>34</v>
      </c>
      <c r="LB45" s="12" t="s">
        <v>619</v>
      </c>
      <c r="LC45" s="12" t="s">
        <v>619</v>
      </c>
      <c r="LD45" s="12" t="s">
        <v>619</v>
      </c>
      <c r="LE45" s="12" t="s">
        <v>34</v>
      </c>
      <c r="LF45" s="12" t="s">
        <v>619</v>
      </c>
      <c r="LG45" s="12" t="s">
        <v>34</v>
      </c>
      <c r="LH45" s="12" t="s">
        <v>34</v>
      </c>
      <c r="LI45" s="12" t="s">
        <v>619</v>
      </c>
      <c r="LJ45" s="12" t="s">
        <v>619</v>
      </c>
      <c r="LK45" s="12" t="s">
        <v>34</v>
      </c>
      <c r="LL45" s="13" t="s">
        <v>34</v>
      </c>
      <c r="LM45" s="13" t="s">
        <v>34</v>
      </c>
      <c r="LN45" s="13" t="s">
        <v>34</v>
      </c>
      <c r="LO45" s="13" t="s">
        <v>34</v>
      </c>
      <c r="LP45" s="90" t="s">
        <v>619</v>
      </c>
      <c r="LQ45" s="13" t="s">
        <v>34</v>
      </c>
      <c r="LR45" s="13" t="s">
        <v>34</v>
      </c>
      <c r="LS45" s="13"/>
      <c r="LT45" s="13" t="s">
        <v>34</v>
      </c>
      <c r="LU45" s="13" t="s">
        <v>34</v>
      </c>
      <c r="LV45" s="13" t="s">
        <v>619</v>
      </c>
      <c r="LW45" s="13" t="s">
        <v>34</v>
      </c>
      <c r="LX45" s="13" t="s">
        <v>34</v>
      </c>
      <c r="LY45" s="13" t="s">
        <v>34</v>
      </c>
      <c r="LZ45" s="13" t="s">
        <v>34</v>
      </c>
      <c r="MA45" s="13" t="s">
        <v>619</v>
      </c>
      <c r="MB45" s="13" t="s">
        <v>619</v>
      </c>
      <c r="MC45" s="13" t="s">
        <v>34</v>
      </c>
      <c r="MD45" s="13" t="s">
        <v>619</v>
      </c>
      <c r="ME45" s="13" t="s">
        <v>34</v>
      </c>
      <c r="MF45" s="13" t="s">
        <v>34</v>
      </c>
      <c r="MG45" s="13" t="s">
        <v>34</v>
      </c>
      <c r="MH45" s="13" t="s">
        <v>34</v>
      </c>
      <c r="MI45" s="13" t="s">
        <v>34</v>
      </c>
      <c r="MJ45" s="13" t="s">
        <v>34</v>
      </c>
      <c r="MK45" s="13" t="s">
        <v>34</v>
      </c>
      <c r="ML45" s="13" t="s">
        <v>34</v>
      </c>
      <c r="MM45" s="13" t="s">
        <v>34</v>
      </c>
      <c r="MN45" s="13" t="s">
        <v>34</v>
      </c>
      <c r="MO45" s="13" t="s">
        <v>619</v>
      </c>
      <c r="MP45" s="13" t="s">
        <v>34</v>
      </c>
      <c r="MQ45" s="13" t="s">
        <v>34</v>
      </c>
      <c r="MR45" s="13" t="s">
        <v>34</v>
      </c>
      <c r="MS45" s="13" t="s">
        <v>34</v>
      </c>
      <c r="MT45" s="13" t="s">
        <v>34</v>
      </c>
      <c r="MU45" s="13" t="s">
        <v>34</v>
      </c>
      <c r="MV45" s="13" t="s">
        <v>34</v>
      </c>
      <c r="MW45" s="13" t="s">
        <v>34</v>
      </c>
      <c r="MX45" s="13" t="s">
        <v>34</v>
      </c>
      <c r="MY45" s="28" t="s">
        <v>296</v>
      </c>
      <c r="MZ45" s="28" t="s">
        <v>296</v>
      </c>
      <c r="NA45" s="28" t="s">
        <v>296</v>
      </c>
      <c r="NB45" s="28" t="s">
        <v>296</v>
      </c>
      <c r="NC45" s="28" t="s">
        <v>296</v>
      </c>
      <c r="ND45" s="28" t="s">
        <v>296</v>
      </c>
      <c r="NE45" s="28" t="s">
        <v>296</v>
      </c>
      <c r="NF45" s="28" t="s">
        <v>296</v>
      </c>
      <c r="NG45" s="28" t="s">
        <v>297</v>
      </c>
      <c r="NH45" s="28" t="s">
        <v>297</v>
      </c>
      <c r="NI45" s="177" t="s">
        <v>296</v>
      </c>
      <c r="NJ45" s="177" t="s">
        <v>297</v>
      </c>
      <c r="NK45" s="177" t="s">
        <v>296</v>
      </c>
      <c r="NL45" s="177" t="s">
        <v>297</v>
      </c>
      <c r="NM45" s="177" t="s">
        <v>296</v>
      </c>
      <c r="NN45" s="177" t="s">
        <v>296</v>
      </c>
      <c r="NO45" s="177" t="s">
        <v>296</v>
      </c>
      <c r="NP45" s="177" t="s">
        <v>297</v>
      </c>
      <c r="NQ45" s="177" t="s">
        <v>297</v>
      </c>
      <c r="NR45" s="12" t="s">
        <v>34</v>
      </c>
      <c r="NS45" s="13" t="s">
        <v>34</v>
      </c>
    </row>
    <row r="46" spans="1:383" x14ac:dyDescent="0.25">
      <c r="A46" s="8" t="s">
        <v>131</v>
      </c>
      <c r="B46" s="9" t="s">
        <v>132</v>
      </c>
      <c r="C46" s="9">
        <v>52</v>
      </c>
      <c r="D46" s="9" t="s">
        <v>133</v>
      </c>
      <c r="E46" s="10">
        <v>152</v>
      </c>
      <c r="F46" s="10">
        <v>155</v>
      </c>
      <c r="G46" s="10">
        <v>133</v>
      </c>
      <c r="H46" s="10">
        <v>107</v>
      </c>
      <c r="I46" s="10">
        <v>53</v>
      </c>
      <c r="J46" s="11">
        <v>851</v>
      </c>
      <c r="K46" s="11">
        <v>837</v>
      </c>
      <c r="L46" s="11">
        <v>773</v>
      </c>
      <c r="M46" s="11">
        <v>563</v>
      </c>
      <c r="N46" s="11">
        <v>258</v>
      </c>
      <c r="O46" s="13">
        <v>14863</v>
      </c>
      <c r="P46" s="13">
        <v>14060</v>
      </c>
      <c r="Q46" s="13">
        <v>12357</v>
      </c>
      <c r="R46" s="13">
        <v>9604</v>
      </c>
      <c r="S46" s="13">
        <v>4611</v>
      </c>
      <c r="T46" s="12">
        <v>5358</v>
      </c>
      <c r="U46" s="12">
        <v>5331</v>
      </c>
      <c r="V46" s="12">
        <v>5026</v>
      </c>
      <c r="W46" s="12">
        <v>3298</v>
      </c>
      <c r="X46" s="12">
        <v>2180</v>
      </c>
      <c r="Y46" s="12">
        <v>6.68</v>
      </c>
      <c r="Z46" s="12">
        <v>6.7</v>
      </c>
      <c r="AA46" s="12">
        <v>6.7</v>
      </c>
      <c r="AB46" s="13">
        <v>6.34</v>
      </c>
      <c r="AC46" s="13">
        <v>6.36</v>
      </c>
      <c r="AD46" s="13">
        <v>6.36</v>
      </c>
      <c r="AE46" s="35" t="s">
        <v>258</v>
      </c>
      <c r="AF46" s="35" t="s">
        <v>258</v>
      </c>
      <c r="AG46" s="35" t="s">
        <v>258</v>
      </c>
      <c r="AH46" s="38">
        <v>1</v>
      </c>
      <c r="AI46" s="38">
        <v>1</v>
      </c>
      <c r="AJ46" s="38">
        <v>0.8</v>
      </c>
      <c r="AK46" s="45" t="s">
        <v>34</v>
      </c>
      <c r="AL46" s="45" t="s">
        <v>34</v>
      </c>
      <c r="AM46" s="45" t="s">
        <v>34</v>
      </c>
      <c r="AN46" s="45" t="s">
        <v>34</v>
      </c>
      <c r="AO46" s="45" t="s">
        <v>34</v>
      </c>
      <c r="AP46" s="45" t="s">
        <v>292</v>
      </c>
      <c r="AQ46" s="53" t="s">
        <v>296</v>
      </c>
      <c r="AR46" s="56">
        <v>552</v>
      </c>
      <c r="AS46" s="57">
        <v>1145</v>
      </c>
      <c r="AT46" s="56">
        <v>717</v>
      </c>
      <c r="AU46" s="57">
        <v>40098</v>
      </c>
      <c r="AV46" s="57">
        <v>36915</v>
      </c>
      <c r="AW46" s="57">
        <v>20422</v>
      </c>
      <c r="AX46" s="57">
        <v>177</v>
      </c>
      <c r="AY46" s="57">
        <v>872</v>
      </c>
      <c r="AZ46" s="57">
        <v>561</v>
      </c>
      <c r="BA46" s="57">
        <v>7208</v>
      </c>
      <c r="BB46" s="57">
        <v>11927</v>
      </c>
      <c r="BC46" s="57">
        <v>6665</v>
      </c>
      <c r="BD46" s="57">
        <v>6298</v>
      </c>
      <c r="BE46" s="57">
        <v>8919</v>
      </c>
      <c r="BF46" s="57">
        <v>4532</v>
      </c>
      <c r="BG46" s="57">
        <v>8132</v>
      </c>
      <c r="BH46" s="57">
        <v>4428</v>
      </c>
      <c r="BI46" s="57">
        <v>1248</v>
      </c>
      <c r="BJ46" s="57" t="s">
        <v>297</v>
      </c>
      <c r="BK46" s="57">
        <v>21</v>
      </c>
      <c r="BL46" s="57">
        <v>37</v>
      </c>
      <c r="BM46" s="57">
        <v>0</v>
      </c>
      <c r="BN46" s="57">
        <v>500</v>
      </c>
      <c r="BO46" s="57">
        <v>143</v>
      </c>
      <c r="BP46" s="57">
        <v>270</v>
      </c>
      <c r="BQ46" s="76">
        <v>554</v>
      </c>
      <c r="BR46" s="76">
        <v>555</v>
      </c>
      <c r="BS46">
        <v>550</v>
      </c>
      <c r="BT46">
        <v>550</v>
      </c>
      <c r="BU46">
        <v>548</v>
      </c>
      <c r="BV46">
        <v>98536</v>
      </c>
      <c r="BW46">
        <v>98957</v>
      </c>
      <c r="BX46">
        <v>99062</v>
      </c>
      <c r="BY46">
        <v>98975</v>
      </c>
      <c r="BZ46">
        <v>98309</v>
      </c>
      <c r="CA46">
        <v>195</v>
      </c>
      <c r="CB46">
        <v>173</v>
      </c>
      <c r="CC46">
        <v>152</v>
      </c>
      <c r="CD46">
        <v>120</v>
      </c>
      <c r="CE46">
        <v>54</v>
      </c>
      <c r="CF46">
        <v>20221</v>
      </c>
      <c r="CG46">
        <v>19391</v>
      </c>
      <c r="CH46">
        <v>17383</v>
      </c>
      <c r="CI46">
        <v>12902</v>
      </c>
      <c r="CJ46">
        <v>6791</v>
      </c>
      <c r="CK46" s="10">
        <v>0</v>
      </c>
      <c r="CL46" s="10">
        <v>0</v>
      </c>
      <c r="CM46" s="10">
        <v>0</v>
      </c>
      <c r="CN46" s="11">
        <v>26</v>
      </c>
      <c r="CO46" s="11">
        <v>26</v>
      </c>
      <c r="CP46" s="11">
        <v>26</v>
      </c>
      <c r="CQ46" s="13">
        <v>51</v>
      </c>
      <c r="CR46" s="13">
        <v>12</v>
      </c>
      <c r="CS46" s="13">
        <v>0</v>
      </c>
      <c r="CT46" s="10">
        <v>0</v>
      </c>
      <c r="CU46" s="10">
        <v>0</v>
      </c>
      <c r="CV46" s="10">
        <v>18</v>
      </c>
      <c r="CW46" s="10">
        <v>14</v>
      </c>
      <c r="CX46" s="10">
        <v>2</v>
      </c>
      <c r="CY46" s="10">
        <v>0</v>
      </c>
      <c r="CZ46" s="10">
        <v>0</v>
      </c>
      <c r="DA46" s="10">
        <v>0</v>
      </c>
      <c r="DB46" s="10">
        <v>1</v>
      </c>
      <c r="DC46" s="10">
        <v>5</v>
      </c>
      <c r="DD46" s="10">
        <v>3</v>
      </c>
      <c r="DE46" s="10">
        <v>0</v>
      </c>
      <c r="DF46" s="10">
        <v>5</v>
      </c>
      <c r="DG46" s="10">
        <v>0</v>
      </c>
      <c r="DH46" s="10">
        <v>18</v>
      </c>
      <c r="DI46" s="81">
        <v>11</v>
      </c>
      <c r="DJ46" s="81">
        <v>20</v>
      </c>
      <c r="DK46" s="81">
        <v>16</v>
      </c>
      <c r="DL46" s="81">
        <v>1</v>
      </c>
      <c r="DM46" s="81">
        <v>9</v>
      </c>
      <c r="DN46" s="12">
        <v>16</v>
      </c>
      <c r="DO46" s="12">
        <v>0</v>
      </c>
      <c r="DP46" s="12">
        <v>11</v>
      </c>
      <c r="DQ46" s="12">
        <v>3</v>
      </c>
      <c r="DR46" s="12">
        <v>1</v>
      </c>
      <c r="DS46" s="12">
        <v>0</v>
      </c>
      <c r="DT46" s="12">
        <v>2</v>
      </c>
      <c r="DU46" s="12">
        <v>0</v>
      </c>
      <c r="DV46" s="12">
        <v>23</v>
      </c>
      <c r="DW46" s="12">
        <v>0</v>
      </c>
      <c r="DX46" s="12">
        <v>1</v>
      </c>
      <c r="DY46" s="12">
        <v>6</v>
      </c>
      <c r="DZ46" s="12">
        <v>4</v>
      </c>
      <c r="EA46" s="12">
        <v>0</v>
      </c>
      <c r="EB46" s="12">
        <v>46</v>
      </c>
      <c r="EC46" s="12">
        <v>0</v>
      </c>
      <c r="ED46" s="12">
        <v>16</v>
      </c>
      <c r="EE46" s="12">
        <v>4</v>
      </c>
      <c r="EF46" s="12">
        <v>13</v>
      </c>
      <c r="EG46" s="12">
        <v>0</v>
      </c>
      <c r="EH46" s="12">
        <v>0</v>
      </c>
      <c r="EI46" s="12">
        <v>0</v>
      </c>
      <c r="EJ46" s="12">
        <v>20</v>
      </c>
      <c r="EK46" s="12">
        <v>0</v>
      </c>
      <c r="EL46" s="12">
        <v>19</v>
      </c>
      <c r="EM46" s="12">
        <v>4</v>
      </c>
      <c r="EN46" s="12">
        <v>3</v>
      </c>
      <c r="EO46" s="12">
        <v>2</v>
      </c>
      <c r="EP46" s="12">
        <v>12</v>
      </c>
      <c r="EQ46" s="12">
        <v>13</v>
      </c>
      <c r="ER46" s="12">
        <v>0</v>
      </c>
      <c r="ES46" s="13">
        <v>24</v>
      </c>
      <c r="ET46" s="13">
        <v>3</v>
      </c>
      <c r="EU46" s="13">
        <v>0</v>
      </c>
      <c r="EV46" s="10">
        <v>0</v>
      </c>
      <c r="EW46" s="10">
        <v>0</v>
      </c>
      <c r="EX46" s="10">
        <v>10</v>
      </c>
      <c r="EY46" s="10">
        <v>12</v>
      </c>
      <c r="EZ46" s="10">
        <v>0</v>
      </c>
      <c r="FA46" s="10">
        <v>0</v>
      </c>
      <c r="FB46" s="10">
        <v>0</v>
      </c>
      <c r="FC46" s="10">
        <v>0</v>
      </c>
      <c r="FD46" s="10">
        <v>1</v>
      </c>
      <c r="FE46" s="10">
        <v>3</v>
      </c>
      <c r="FF46" s="10">
        <v>0</v>
      </c>
      <c r="FG46" s="10">
        <v>0</v>
      </c>
      <c r="FH46" s="10">
        <v>0</v>
      </c>
      <c r="FI46" s="10">
        <v>0</v>
      </c>
      <c r="FJ46" s="10">
        <v>17</v>
      </c>
      <c r="FK46" s="81">
        <v>11</v>
      </c>
      <c r="FL46" s="81">
        <v>14</v>
      </c>
      <c r="FM46" s="81">
        <v>7</v>
      </c>
      <c r="FN46" s="81">
        <v>0</v>
      </c>
      <c r="FO46" s="81">
        <v>17</v>
      </c>
      <c r="FP46" s="12">
        <v>5</v>
      </c>
      <c r="FQ46" s="12">
        <v>1</v>
      </c>
      <c r="FR46" s="12">
        <v>40</v>
      </c>
      <c r="FS46" s="12">
        <v>3</v>
      </c>
      <c r="FT46" s="12">
        <v>0</v>
      </c>
      <c r="FU46" s="12">
        <v>0</v>
      </c>
      <c r="FV46" s="12">
        <v>0</v>
      </c>
      <c r="FW46" s="12">
        <v>0</v>
      </c>
      <c r="FX46" s="12">
        <v>13</v>
      </c>
      <c r="FY46" s="12">
        <v>0</v>
      </c>
      <c r="FZ46" s="12">
        <v>0</v>
      </c>
      <c r="GA46" s="12">
        <v>3</v>
      </c>
      <c r="GB46" s="12">
        <v>2</v>
      </c>
      <c r="GC46" s="12">
        <v>0</v>
      </c>
      <c r="GD46" s="12">
        <v>11</v>
      </c>
      <c r="GE46" s="12">
        <v>0</v>
      </c>
      <c r="GF46" s="12">
        <v>10</v>
      </c>
      <c r="GG46" s="12">
        <v>6</v>
      </c>
      <c r="GH46" s="12">
        <v>12</v>
      </c>
      <c r="GI46" s="12">
        <v>0</v>
      </c>
      <c r="GJ46" s="12">
        <v>0</v>
      </c>
      <c r="GK46" s="12">
        <v>2</v>
      </c>
      <c r="GL46" s="12">
        <v>2</v>
      </c>
      <c r="GM46" s="12">
        <v>0</v>
      </c>
      <c r="GN46" s="12">
        <v>7</v>
      </c>
      <c r="GO46" s="12">
        <v>1</v>
      </c>
      <c r="GP46" s="12">
        <v>3</v>
      </c>
      <c r="GQ46" s="12">
        <v>1</v>
      </c>
      <c r="GR46" s="12">
        <v>0</v>
      </c>
      <c r="GS46" s="12">
        <v>2</v>
      </c>
      <c r="GT46" s="12">
        <v>0</v>
      </c>
      <c r="GU46" s="13">
        <v>1145</v>
      </c>
      <c r="GV46" s="13">
        <v>11</v>
      </c>
      <c r="GW46" s="13">
        <v>0</v>
      </c>
      <c r="GX46" s="13">
        <v>0</v>
      </c>
      <c r="GY46" s="10">
        <v>0</v>
      </c>
      <c r="GZ46" s="10">
        <v>0</v>
      </c>
      <c r="HA46" s="10">
        <v>10</v>
      </c>
      <c r="HB46" s="10">
        <v>7</v>
      </c>
      <c r="HC46" s="10">
        <v>5</v>
      </c>
      <c r="HD46" s="10">
        <v>0</v>
      </c>
      <c r="HE46" s="10">
        <v>0</v>
      </c>
      <c r="HF46" s="10">
        <v>0</v>
      </c>
      <c r="HG46" s="10">
        <v>0</v>
      </c>
      <c r="HH46" s="10">
        <v>22</v>
      </c>
      <c r="HI46" s="10">
        <v>0</v>
      </c>
      <c r="HJ46" s="10">
        <v>0</v>
      </c>
      <c r="HK46" s="10">
        <v>2</v>
      </c>
      <c r="HL46" s="10">
        <v>0</v>
      </c>
      <c r="HM46" s="10">
        <v>0</v>
      </c>
      <c r="HN46" s="81">
        <v>0</v>
      </c>
      <c r="HO46" s="81">
        <v>4</v>
      </c>
      <c r="HP46" s="81">
        <v>20</v>
      </c>
      <c r="HQ46" s="81">
        <v>0</v>
      </c>
      <c r="HR46" s="81">
        <v>1</v>
      </c>
      <c r="HS46" s="12">
        <v>6</v>
      </c>
      <c r="HT46" s="12">
        <v>0</v>
      </c>
      <c r="HU46" s="12">
        <v>1</v>
      </c>
      <c r="HV46" s="12">
        <v>0</v>
      </c>
      <c r="HW46" s="12">
        <v>0</v>
      </c>
      <c r="HX46" s="12">
        <v>0</v>
      </c>
      <c r="HY46" s="12">
        <v>0</v>
      </c>
      <c r="HZ46" s="12">
        <v>0</v>
      </c>
      <c r="IA46" s="12">
        <v>2</v>
      </c>
      <c r="IB46" s="12">
        <v>0</v>
      </c>
      <c r="IC46" s="12">
        <v>0</v>
      </c>
      <c r="ID46" s="12">
        <v>0</v>
      </c>
      <c r="IE46" s="12">
        <v>5</v>
      </c>
      <c r="IF46" s="12">
        <v>0</v>
      </c>
      <c r="IG46" s="12">
        <v>4</v>
      </c>
      <c r="IH46" s="12">
        <v>0</v>
      </c>
      <c r="II46" s="12">
        <v>0</v>
      </c>
      <c r="IJ46" s="12">
        <v>0</v>
      </c>
      <c r="IK46" s="12">
        <v>0</v>
      </c>
      <c r="IL46" s="12">
        <v>0</v>
      </c>
      <c r="IM46" s="12">
        <v>0</v>
      </c>
      <c r="IN46" s="12">
        <v>0</v>
      </c>
      <c r="IO46" s="12">
        <v>0</v>
      </c>
      <c r="IP46" s="12">
        <v>0</v>
      </c>
      <c r="IQ46" s="12">
        <v>0</v>
      </c>
      <c r="IR46" s="12">
        <v>0</v>
      </c>
      <c r="IS46" s="12">
        <v>2</v>
      </c>
      <c r="IT46" s="12">
        <v>0</v>
      </c>
      <c r="IU46" s="12">
        <v>44</v>
      </c>
      <c r="IV46" s="12">
        <v>2</v>
      </c>
      <c r="IW46" s="12">
        <v>1</v>
      </c>
      <c r="IX46" s="11">
        <v>21000</v>
      </c>
      <c r="IY46" s="11">
        <v>21500</v>
      </c>
      <c r="IZ46" s="11">
        <v>21000</v>
      </c>
      <c r="JA46" s="85" t="s">
        <v>602</v>
      </c>
      <c r="JB46" s="85" t="s">
        <v>604</v>
      </c>
      <c r="JC46" s="85">
        <v>0</v>
      </c>
      <c r="JD46" s="12">
        <v>25</v>
      </c>
      <c r="JE46" s="12">
        <v>7</v>
      </c>
      <c r="JF46" s="12">
        <v>25</v>
      </c>
      <c r="JG46" s="12">
        <v>8</v>
      </c>
      <c r="JH46" s="12">
        <v>25</v>
      </c>
      <c r="JI46" s="12">
        <v>20</v>
      </c>
      <c r="JJ46" s="13" t="s">
        <v>620</v>
      </c>
      <c r="JK46" s="13" t="s">
        <v>619</v>
      </c>
      <c r="JL46" s="13" t="s">
        <v>296</v>
      </c>
      <c r="JM46" s="89"/>
      <c r="JN46" s="89"/>
      <c r="JO46" s="89" t="s">
        <v>296</v>
      </c>
      <c r="JP46" s="89"/>
      <c r="JQ46" s="89"/>
      <c r="JR46" s="89" t="s">
        <v>296</v>
      </c>
      <c r="JS46" s="89" t="s">
        <v>619</v>
      </c>
      <c r="JT46" s="89" t="s">
        <v>619</v>
      </c>
      <c r="JU46" s="89" t="s">
        <v>296</v>
      </c>
      <c r="JV46" s="89"/>
      <c r="JW46" s="89"/>
      <c r="JX46" s="89" t="s">
        <v>297</v>
      </c>
      <c r="JY46" s="12" t="s">
        <v>619</v>
      </c>
      <c r="JZ46" s="12" t="s">
        <v>34</v>
      </c>
      <c r="KA46" s="12" t="s">
        <v>34</v>
      </c>
      <c r="KB46" s="12" t="s">
        <v>34</v>
      </c>
      <c r="KC46" s="12" t="s">
        <v>34</v>
      </c>
      <c r="KD46" s="12" t="s">
        <v>34</v>
      </c>
      <c r="KE46" s="12" t="s">
        <v>34</v>
      </c>
      <c r="KF46" s="12"/>
      <c r="KG46" s="12" t="s">
        <v>34</v>
      </c>
      <c r="KH46" s="12" t="s">
        <v>34</v>
      </c>
      <c r="KI46" s="12" t="s">
        <v>34</v>
      </c>
      <c r="KJ46" s="12" t="s">
        <v>34</v>
      </c>
      <c r="KK46" s="12" t="s">
        <v>34</v>
      </c>
      <c r="KL46" s="12" t="s">
        <v>34</v>
      </c>
      <c r="KM46" s="12" t="s">
        <v>619</v>
      </c>
      <c r="KN46" s="12" t="s">
        <v>619</v>
      </c>
      <c r="KO46" s="12" t="s">
        <v>34</v>
      </c>
      <c r="KP46" s="12" t="s">
        <v>34</v>
      </c>
      <c r="KQ46" s="12" t="s">
        <v>619</v>
      </c>
      <c r="KR46" s="12" t="s">
        <v>34</v>
      </c>
      <c r="KS46" s="12" t="s">
        <v>34</v>
      </c>
      <c r="KT46" s="12" t="s">
        <v>34</v>
      </c>
      <c r="KU46" s="12" t="s">
        <v>34</v>
      </c>
      <c r="KV46" s="12" t="s">
        <v>34</v>
      </c>
      <c r="KW46" s="12" t="s">
        <v>34</v>
      </c>
      <c r="KX46" s="12" t="s">
        <v>34</v>
      </c>
      <c r="KY46" s="12" t="s">
        <v>619</v>
      </c>
      <c r="KZ46" s="12" t="s">
        <v>34</v>
      </c>
      <c r="LA46" s="12" t="s">
        <v>619</v>
      </c>
      <c r="LB46" s="12" t="s">
        <v>619</v>
      </c>
      <c r="LC46" s="12" t="s">
        <v>34</v>
      </c>
      <c r="LD46" s="12" t="s">
        <v>34</v>
      </c>
      <c r="LE46" s="12" t="s">
        <v>34</v>
      </c>
      <c r="LF46" s="12" t="s">
        <v>34</v>
      </c>
      <c r="LG46" s="12" t="s">
        <v>34</v>
      </c>
      <c r="LH46" s="12" t="s">
        <v>34</v>
      </c>
      <c r="LI46" s="12" t="s">
        <v>619</v>
      </c>
      <c r="LJ46" s="12" t="s">
        <v>34</v>
      </c>
      <c r="LK46" s="12" t="s">
        <v>34</v>
      </c>
      <c r="LL46" s="13" t="s">
        <v>34</v>
      </c>
      <c r="LM46" s="13" t="s">
        <v>34</v>
      </c>
      <c r="LN46" s="13" t="s">
        <v>34</v>
      </c>
      <c r="LO46" s="13" t="s">
        <v>34</v>
      </c>
      <c r="LP46" s="90" t="s">
        <v>619</v>
      </c>
      <c r="LQ46" s="13" t="s">
        <v>34</v>
      </c>
      <c r="LR46" s="13" t="s">
        <v>34</v>
      </c>
      <c r="LS46" s="13"/>
      <c r="LT46" s="13" t="s">
        <v>34</v>
      </c>
      <c r="LU46" s="13" t="s">
        <v>34</v>
      </c>
      <c r="LV46" s="13" t="s">
        <v>34</v>
      </c>
      <c r="LW46" s="13" t="s">
        <v>34</v>
      </c>
      <c r="LX46" s="13" t="s">
        <v>34</v>
      </c>
      <c r="LY46" s="13" t="s">
        <v>34</v>
      </c>
      <c r="LZ46" s="13" t="s">
        <v>34</v>
      </c>
      <c r="MA46" s="13" t="s">
        <v>34</v>
      </c>
      <c r="MB46" s="13" t="s">
        <v>34</v>
      </c>
      <c r="MC46" s="13" t="s">
        <v>34</v>
      </c>
      <c r="MD46" s="13" t="s">
        <v>34</v>
      </c>
      <c r="ME46" s="13" t="s">
        <v>34</v>
      </c>
      <c r="MF46" s="13" t="s">
        <v>34</v>
      </c>
      <c r="MG46" s="13" t="s">
        <v>34</v>
      </c>
      <c r="MH46" s="13" t="s">
        <v>34</v>
      </c>
      <c r="MI46" s="13" t="s">
        <v>34</v>
      </c>
      <c r="MJ46" s="13" t="s">
        <v>34</v>
      </c>
      <c r="MK46" s="13" t="s">
        <v>34</v>
      </c>
      <c r="ML46" s="13" t="s">
        <v>34</v>
      </c>
      <c r="MM46" s="13" t="s">
        <v>34</v>
      </c>
      <c r="MN46" s="13" t="s">
        <v>34</v>
      </c>
      <c r="MO46" s="13" t="s">
        <v>34</v>
      </c>
      <c r="MP46" s="13" t="s">
        <v>34</v>
      </c>
      <c r="MQ46" s="13" t="s">
        <v>34</v>
      </c>
      <c r="MR46" s="13" t="s">
        <v>34</v>
      </c>
      <c r="MS46" s="13" t="s">
        <v>34</v>
      </c>
      <c r="MT46" s="13" t="s">
        <v>34</v>
      </c>
      <c r="MU46" s="13" t="s">
        <v>34</v>
      </c>
      <c r="MV46" s="13" t="s">
        <v>34</v>
      </c>
      <c r="MW46" s="13" t="s">
        <v>34</v>
      </c>
      <c r="MX46" s="13" t="s">
        <v>34</v>
      </c>
      <c r="MY46" s="28" t="s">
        <v>296</v>
      </c>
      <c r="MZ46" s="28" t="s">
        <v>296</v>
      </c>
      <c r="NA46" s="28" t="s">
        <v>296</v>
      </c>
      <c r="NB46" s="28" t="s">
        <v>296</v>
      </c>
      <c r="NC46" s="28" t="s">
        <v>296</v>
      </c>
      <c r="ND46" s="28" t="s">
        <v>296</v>
      </c>
      <c r="NE46" s="28" t="s">
        <v>296</v>
      </c>
      <c r="NF46" s="28" t="s">
        <v>297</v>
      </c>
      <c r="NG46" s="28" t="s">
        <v>297</v>
      </c>
      <c r="NH46" s="28" t="s">
        <v>297</v>
      </c>
      <c r="NI46" s="177" t="s">
        <v>296</v>
      </c>
      <c r="NJ46" s="177" t="s">
        <v>297</v>
      </c>
      <c r="NK46" s="177" t="s">
        <v>296</v>
      </c>
      <c r="NL46" s="177" t="s">
        <v>296</v>
      </c>
      <c r="NM46" s="177" t="s">
        <v>297</v>
      </c>
      <c r="NN46" s="177" t="s">
        <v>296</v>
      </c>
      <c r="NO46" s="177" t="s">
        <v>296</v>
      </c>
      <c r="NP46" s="177" t="s">
        <v>296</v>
      </c>
      <c r="NQ46" s="177" t="s">
        <v>296</v>
      </c>
      <c r="NR46" s="12" t="s">
        <v>34</v>
      </c>
      <c r="NS46" s="13" t="s">
        <v>34</v>
      </c>
    </row>
    <row r="47" spans="1:383" x14ac:dyDescent="0.25">
      <c r="A47" s="8" t="s">
        <v>134</v>
      </c>
      <c r="B47" s="9" t="s">
        <v>135</v>
      </c>
      <c r="C47" s="9">
        <v>24</v>
      </c>
      <c r="D47" s="9" t="s">
        <v>75</v>
      </c>
      <c r="E47" s="10">
        <v>138</v>
      </c>
      <c r="F47" s="10">
        <v>130</v>
      </c>
      <c r="G47" s="10">
        <v>126</v>
      </c>
      <c r="H47" s="10">
        <v>115</v>
      </c>
      <c r="I47" s="10">
        <v>78</v>
      </c>
      <c r="J47" s="11">
        <v>527</v>
      </c>
      <c r="K47" s="11">
        <v>496</v>
      </c>
      <c r="L47" s="11">
        <v>462</v>
      </c>
      <c r="M47" s="11">
        <v>407</v>
      </c>
      <c r="N47" s="11">
        <v>308</v>
      </c>
      <c r="O47" s="13">
        <v>4497</v>
      </c>
      <c r="P47" s="13">
        <v>4578</v>
      </c>
      <c r="Q47" s="13">
        <v>4184</v>
      </c>
      <c r="R47" s="13">
        <v>3013</v>
      </c>
      <c r="S47" s="13">
        <v>2594</v>
      </c>
      <c r="T47" s="12">
        <v>462</v>
      </c>
      <c r="U47" s="12">
        <v>347</v>
      </c>
      <c r="V47" s="12">
        <v>303</v>
      </c>
      <c r="W47" s="12">
        <v>239</v>
      </c>
      <c r="X47" s="12">
        <v>118</v>
      </c>
      <c r="Y47" s="12">
        <v>6.71</v>
      </c>
      <c r="Z47" s="12">
        <v>6.71</v>
      </c>
      <c r="AA47" s="12">
        <v>6.71</v>
      </c>
      <c r="AB47" s="13">
        <v>6.01</v>
      </c>
      <c r="AC47" s="13">
        <v>6.01</v>
      </c>
      <c r="AD47" s="13">
        <v>6.01</v>
      </c>
      <c r="AE47" s="35" t="s">
        <v>259</v>
      </c>
      <c r="AF47" s="35" t="s">
        <v>259</v>
      </c>
      <c r="AG47" s="35" t="s">
        <v>259</v>
      </c>
      <c r="AH47" s="38">
        <v>1</v>
      </c>
      <c r="AI47" s="38">
        <v>1</v>
      </c>
      <c r="AJ47" s="38">
        <v>1</v>
      </c>
      <c r="AK47" s="45" t="s">
        <v>288</v>
      </c>
      <c r="AL47" s="45" t="s">
        <v>289</v>
      </c>
      <c r="AM47" s="45" t="s">
        <v>290</v>
      </c>
      <c r="AN47" s="45" t="s">
        <v>293</v>
      </c>
      <c r="AO47" s="45" t="s">
        <v>34</v>
      </c>
      <c r="AP47" s="45" t="s">
        <v>34</v>
      </c>
      <c r="AQ47" s="53" t="s">
        <v>297</v>
      </c>
      <c r="AR47" s="56">
        <v>260</v>
      </c>
      <c r="AS47" s="57">
        <v>106</v>
      </c>
      <c r="AT47" s="56">
        <v>29</v>
      </c>
      <c r="AU47" s="57">
        <v>10005</v>
      </c>
      <c r="AV47" s="57">
        <v>3531</v>
      </c>
      <c r="AW47" s="57">
        <v>1585</v>
      </c>
      <c r="AX47" s="57">
        <v>73</v>
      </c>
      <c r="AY47" s="57">
        <v>35</v>
      </c>
      <c r="AZ47" s="57">
        <v>15</v>
      </c>
      <c r="BA47" s="57">
        <v>2588</v>
      </c>
      <c r="BB47" s="57">
        <v>15818</v>
      </c>
      <c r="BC47" s="57">
        <v>26209</v>
      </c>
      <c r="BD47" s="57">
        <v>100</v>
      </c>
      <c r="BE47" s="57">
        <v>548</v>
      </c>
      <c r="BF47" s="57">
        <v>627</v>
      </c>
      <c r="BG47" s="57">
        <v>0</v>
      </c>
      <c r="BH47" s="57">
        <v>0</v>
      </c>
      <c r="BI47" s="57">
        <v>65</v>
      </c>
      <c r="BJ47" s="57" t="s">
        <v>297</v>
      </c>
      <c r="BK47" s="57">
        <v>6</v>
      </c>
      <c r="BL47" s="57">
        <v>12</v>
      </c>
      <c r="BM47" s="57">
        <v>0</v>
      </c>
      <c r="BN47" s="57">
        <v>250</v>
      </c>
      <c r="BO47" s="57">
        <v>900</v>
      </c>
      <c r="BP47" s="57">
        <v>370</v>
      </c>
      <c r="BQ47" s="76">
        <v>461</v>
      </c>
      <c r="BR47" s="76">
        <v>458</v>
      </c>
      <c r="BS47">
        <v>453</v>
      </c>
      <c r="BT47">
        <v>453</v>
      </c>
      <c r="BU47">
        <v>453</v>
      </c>
      <c r="BV47">
        <v>66420</v>
      </c>
      <c r="BW47">
        <v>65926</v>
      </c>
      <c r="BX47">
        <v>65360</v>
      </c>
      <c r="BY47">
        <v>64510</v>
      </c>
      <c r="BZ47">
        <v>63702</v>
      </c>
      <c r="CA47">
        <v>246</v>
      </c>
      <c r="CB47">
        <v>236</v>
      </c>
      <c r="CC47">
        <v>188</v>
      </c>
      <c r="CD47">
        <v>180</v>
      </c>
      <c r="CE47">
        <v>121</v>
      </c>
      <c r="CF47">
        <v>4959</v>
      </c>
      <c r="CG47">
        <v>4925</v>
      </c>
      <c r="CH47">
        <v>4487</v>
      </c>
      <c r="CI47">
        <v>3252</v>
      </c>
      <c r="CJ47">
        <v>2712</v>
      </c>
      <c r="CK47" s="10">
        <v>68</v>
      </c>
      <c r="CL47" s="10">
        <v>68</v>
      </c>
      <c r="CM47" s="10">
        <v>68</v>
      </c>
      <c r="CN47" s="11">
        <v>20.5</v>
      </c>
      <c r="CO47" s="11">
        <v>20.5</v>
      </c>
      <c r="CP47" s="11">
        <v>20.5</v>
      </c>
      <c r="CQ47" s="13">
        <v>50</v>
      </c>
      <c r="CR47" s="13">
        <v>31</v>
      </c>
      <c r="CS47" s="13">
        <v>3</v>
      </c>
      <c r="CT47" s="10">
        <v>1</v>
      </c>
      <c r="CU47" s="10">
        <v>2</v>
      </c>
      <c r="CV47" s="10">
        <v>8</v>
      </c>
      <c r="CW47" s="10">
        <v>14</v>
      </c>
      <c r="CX47" s="10">
        <v>17</v>
      </c>
      <c r="CY47" s="10">
        <v>0</v>
      </c>
      <c r="CZ47" s="10">
        <v>0</v>
      </c>
      <c r="DA47" s="10">
        <v>0</v>
      </c>
      <c r="DB47" s="10">
        <v>19</v>
      </c>
      <c r="DC47" s="10">
        <v>1</v>
      </c>
      <c r="DD47" s="10">
        <v>1</v>
      </c>
      <c r="DE47" s="10">
        <v>0</v>
      </c>
      <c r="DF47" s="10">
        <v>2</v>
      </c>
      <c r="DG47" s="10">
        <v>0</v>
      </c>
      <c r="DH47" s="10">
        <v>9</v>
      </c>
      <c r="DI47" s="81">
        <v>2</v>
      </c>
      <c r="DJ47" s="81">
        <v>3</v>
      </c>
      <c r="DK47" s="81">
        <v>2</v>
      </c>
      <c r="DL47" s="81">
        <v>0</v>
      </c>
      <c r="DM47" s="81">
        <v>5</v>
      </c>
      <c r="DN47" s="12">
        <v>9</v>
      </c>
      <c r="DO47" s="12">
        <v>0</v>
      </c>
      <c r="DP47" s="12">
        <v>8</v>
      </c>
      <c r="DQ47" s="12">
        <v>1</v>
      </c>
      <c r="DR47" s="12">
        <v>3</v>
      </c>
      <c r="DS47" s="12">
        <v>1</v>
      </c>
      <c r="DT47" s="12">
        <v>1</v>
      </c>
      <c r="DU47" s="12">
        <v>0</v>
      </c>
      <c r="DV47" s="12">
        <v>5</v>
      </c>
      <c r="DW47" s="12">
        <v>9</v>
      </c>
      <c r="DX47" s="12">
        <v>2</v>
      </c>
      <c r="DY47" s="12">
        <v>12</v>
      </c>
      <c r="DZ47" s="12">
        <v>2</v>
      </c>
      <c r="EA47" s="12">
        <v>0</v>
      </c>
      <c r="EB47" s="12">
        <v>53</v>
      </c>
      <c r="EC47" s="12">
        <v>0</v>
      </c>
      <c r="ED47" s="12">
        <v>6</v>
      </c>
      <c r="EE47" s="12">
        <v>5</v>
      </c>
      <c r="EF47" s="12">
        <v>5</v>
      </c>
      <c r="EG47" s="12">
        <v>0</v>
      </c>
      <c r="EH47" s="12">
        <v>2</v>
      </c>
      <c r="EI47" s="12">
        <v>1</v>
      </c>
      <c r="EJ47" s="12">
        <v>6</v>
      </c>
      <c r="EK47" s="12">
        <v>0</v>
      </c>
      <c r="EL47" s="12">
        <v>3</v>
      </c>
      <c r="EM47" s="12">
        <v>2</v>
      </c>
      <c r="EN47" s="12">
        <v>5</v>
      </c>
      <c r="EO47" s="12">
        <v>1</v>
      </c>
      <c r="EP47" s="12">
        <v>2</v>
      </c>
      <c r="EQ47" s="12">
        <v>1</v>
      </c>
      <c r="ER47" s="12">
        <v>0</v>
      </c>
      <c r="ES47" s="13">
        <v>24</v>
      </c>
      <c r="ET47" s="13">
        <v>8</v>
      </c>
      <c r="EU47" s="13">
        <v>1</v>
      </c>
      <c r="EV47" s="10">
        <v>0</v>
      </c>
      <c r="EW47" s="10">
        <v>0</v>
      </c>
      <c r="EX47" s="10">
        <v>1</v>
      </c>
      <c r="EY47" s="10">
        <v>3</v>
      </c>
      <c r="EZ47" s="10">
        <v>2</v>
      </c>
      <c r="FA47" s="10">
        <v>0</v>
      </c>
      <c r="FB47" s="10">
        <v>0</v>
      </c>
      <c r="FC47" s="10">
        <v>0</v>
      </c>
      <c r="FD47" s="10">
        <v>0</v>
      </c>
      <c r="FE47" s="10">
        <v>1</v>
      </c>
      <c r="FF47" s="10">
        <v>1</v>
      </c>
      <c r="FG47" s="10">
        <v>0</v>
      </c>
      <c r="FH47" s="10">
        <v>1</v>
      </c>
      <c r="FI47" s="10">
        <v>0</v>
      </c>
      <c r="FJ47" s="10">
        <v>0</v>
      </c>
      <c r="FK47" s="81">
        <v>1</v>
      </c>
      <c r="FL47" s="81">
        <v>0</v>
      </c>
      <c r="FM47" s="81">
        <v>1</v>
      </c>
      <c r="FN47" s="81">
        <v>0</v>
      </c>
      <c r="FO47" s="81">
        <v>2</v>
      </c>
      <c r="FP47" s="12">
        <v>1</v>
      </c>
      <c r="FQ47" s="12">
        <v>0</v>
      </c>
      <c r="FR47" s="12">
        <v>4</v>
      </c>
      <c r="FS47" s="12">
        <v>0</v>
      </c>
      <c r="FT47" s="12">
        <v>3</v>
      </c>
      <c r="FU47" s="12">
        <v>0</v>
      </c>
      <c r="FV47" s="12">
        <v>0</v>
      </c>
      <c r="FW47" s="12">
        <v>0</v>
      </c>
      <c r="FX47" s="12">
        <v>2</v>
      </c>
      <c r="FY47" s="12">
        <v>6</v>
      </c>
      <c r="FZ47" s="12">
        <v>0</v>
      </c>
      <c r="GA47" s="12">
        <v>2</v>
      </c>
      <c r="GB47" s="12">
        <v>2</v>
      </c>
      <c r="GC47" s="12">
        <v>0</v>
      </c>
      <c r="GD47" s="12">
        <v>16</v>
      </c>
      <c r="GE47" s="12">
        <v>0</v>
      </c>
      <c r="GF47" s="12">
        <v>15</v>
      </c>
      <c r="GG47" s="12">
        <v>2</v>
      </c>
      <c r="GH47" s="12">
        <v>3</v>
      </c>
      <c r="GI47" s="12">
        <v>0</v>
      </c>
      <c r="GJ47" s="12">
        <v>3</v>
      </c>
      <c r="GK47" s="12">
        <v>0</v>
      </c>
      <c r="GL47" s="12">
        <v>3</v>
      </c>
      <c r="GM47" s="12">
        <v>0</v>
      </c>
      <c r="GN47" s="12">
        <v>0</v>
      </c>
      <c r="GO47" s="12">
        <v>1</v>
      </c>
      <c r="GP47" s="12">
        <v>4</v>
      </c>
      <c r="GQ47" s="12">
        <v>1</v>
      </c>
      <c r="GR47" s="12">
        <v>2</v>
      </c>
      <c r="GS47" s="12">
        <v>0</v>
      </c>
      <c r="GT47" s="12">
        <v>0</v>
      </c>
      <c r="GU47" s="13">
        <v>106</v>
      </c>
      <c r="GV47" s="13">
        <v>14</v>
      </c>
      <c r="GW47" s="13">
        <v>0</v>
      </c>
      <c r="GX47" s="13">
        <v>0</v>
      </c>
      <c r="GY47" s="10">
        <v>0</v>
      </c>
      <c r="GZ47" s="10">
        <v>0</v>
      </c>
      <c r="HA47" s="10">
        <v>1</v>
      </c>
      <c r="HB47" s="10">
        <v>1</v>
      </c>
      <c r="HC47" s="10">
        <v>1</v>
      </c>
      <c r="HD47" s="10">
        <v>0</v>
      </c>
      <c r="HE47" s="10">
        <v>0</v>
      </c>
      <c r="HF47" s="10">
        <v>0</v>
      </c>
      <c r="HG47" s="10">
        <v>0</v>
      </c>
      <c r="HH47" s="10">
        <v>2</v>
      </c>
      <c r="HI47" s="10">
        <v>2</v>
      </c>
      <c r="HJ47" s="10">
        <v>0</v>
      </c>
      <c r="HK47" s="10">
        <v>2</v>
      </c>
      <c r="HL47" s="10">
        <v>0</v>
      </c>
      <c r="HM47" s="10">
        <v>0</v>
      </c>
      <c r="HN47" s="81">
        <v>0</v>
      </c>
      <c r="HO47" s="81">
        <v>0</v>
      </c>
      <c r="HP47" s="81">
        <v>0</v>
      </c>
      <c r="HQ47" s="81">
        <v>0</v>
      </c>
      <c r="HR47" s="81">
        <v>0</v>
      </c>
      <c r="HS47" s="12">
        <v>2</v>
      </c>
      <c r="HT47" s="12">
        <v>0</v>
      </c>
      <c r="HU47" s="12">
        <v>4</v>
      </c>
      <c r="HV47" s="12">
        <v>0</v>
      </c>
      <c r="HW47" s="12">
        <v>0</v>
      </c>
      <c r="HX47" s="12">
        <v>0</v>
      </c>
      <c r="HY47" s="12">
        <v>0</v>
      </c>
      <c r="HZ47" s="12">
        <v>0</v>
      </c>
      <c r="IA47" s="12">
        <v>0</v>
      </c>
      <c r="IB47" s="12">
        <v>3</v>
      </c>
      <c r="IC47" s="12">
        <v>0</v>
      </c>
      <c r="ID47" s="12">
        <v>0</v>
      </c>
      <c r="IE47" s="12">
        <v>3</v>
      </c>
      <c r="IF47" s="12">
        <v>0</v>
      </c>
      <c r="IG47" s="12">
        <v>0</v>
      </c>
      <c r="IH47" s="12">
        <v>0</v>
      </c>
      <c r="II47" s="12">
        <v>0</v>
      </c>
      <c r="IJ47" s="12">
        <v>0</v>
      </c>
      <c r="IK47" s="12">
        <v>0</v>
      </c>
      <c r="IL47" s="12">
        <v>0</v>
      </c>
      <c r="IM47" s="12">
        <v>0</v>
      </c>
      <c r="IN47" s="12">
        <v>0</v>
      </c>
      <c r="IO47" s="12">
        <v>3</v>
      </c>
      <c r="IP47" s="12">
        <v>0</v>
      </c>
      <c r="IQ47" s="12">
        <v>0</v>
      </c>
      <c r="IR47" s="12">
        <v>1</v>
      </c>
      <c r="IS47" s="12">
        <v>0</v>
      </c>
      <c r="IT47" s="12">
        <v>0</v>
      </c>
      <c r="IU47" s="12">
        <v>1</v>
      </c>
      <c r="IV47" s="12">
        <v>0</v>
      </c>
      <c r="IW47" s="12">
        <v>2</v>
      </c>
      <c r="IX47" s="11">
        <v>24153</v>
      </c>
      <c r="IY47" s="11">
        <v>15950</v>
      </c>
      <c r="IZ47" s="11">
        <v>15000</v>
      </c>
      <c r="JA47" s="85" t="s">
        <v>602</v>
      </c>
      <c r="JB47" s="85">
        <v>1</v>
      </c>
      <c r="JC47" s="85" t="s">
        <v>602</v>
      </c>
      <c r="JD47" s="12">
        <v>13</v>
      </c>
      <c r="JE47" s="12">
        <v>3</v>
      </c>
      <c r="JF47" s="12">
        <v>13</v>
      </c>
      <c r="JG47" s="12">
        <v>1</v>
      </c>
      <c r="JH47" s="12">
        <v>14</v>
      </c>
      <c r="JI47" s="12">
        <v>0</v>
      </c>
      <c r="JJ47" s="13" t="s">
        <v>620</v>
      </c>
      <c r="JK47" s="13" t="s">
        <v>620</v>
      </c>
      <c r="JL47" s="13" t="s">
        <v>297</v>
      </c>
      <c r="JM47" s="89"/>
      <c r="JN47" s="89"/>
      <c r="JO47" s="89" t="s">
        <v>296</v>
      </c>
      <c r="JP47" s="89"/>
      <c r="JQ47" s="89"/>
      <c r="JR47" s="89" t="s">
        <v>296</v>
      </c>
      <c r="JS47" s="89" t="s">
        <v>619</v>
      </c>
      <c r="JT47" s="89" t="s">
        <v>619</v>
      </c>
      <c r="JU47" s="89" t="s">
        <v>296</v>
      </c>
      <c r="JV47" s="89"/>
      <c r="JW47" s="89"/>
      <c r="JX47" s="89" t="s">
        <v>297</v>
      </c>
      <c r="JY47" s="12" t="s">
        <v>619</v>
      </c>
      <c r="JZ47" s="12" t="s">
        <v>34</v>
      </c>
      <c r="KA47" s="12" t="s">
        <v>619</v>
      </c>
      <c r="KB47" s="12" t="s">
        <v>34</v>
      </c>
      <c r="KC47" s="12" t="s">
        <v>619</v>
      </c>
      <c r="KD47" s="12" t="s">
        <v>34</v>
      </c>
      <c r="KE47" s="12" t="s">
        <v>34</v>
      </c>
      <c r="KF47" s="12"/>
      <c r="KG47" s="12" t="s">
        <v>34</v>
      </c>
      <c r="KH47" s="12" t="s">
        <v>34</v>
      </c>
      <c r="KI47" s="12" t="s">
        <v>619</v>
      </c>
      <c r="KJ47" s="12" t="s">
        <v>619</v>
      </c>
      <c r="KK47" s="12" t="s">
        <v>34</v>
      </c>
      <c r="KL47" s="12" t="s">
        <v>34</v>
      </c>
      <c r="KM47" s="12" t="s">
        <v>619</v>
      </c>
      <c r="KN47" s="12" t="s">
        <v>619</v>
      </c>
      <c r="KO47" s="12" t="s">
        <v>619</v>
      </c>
      <c r="KP47" s="12" t="s">
        <v>619</v>
      </c>
      <c r="KQ47" s="12" t="s">
        <v>619</v>
      </c>
      <c r="KR47" s="12" t="s">
        <v>619</v>
      </c>
      <c r="KS47" s="12" t="s">
        <v>34</v>
      </c>
      <c r="KT47" s="12" t="s">
        <v>619</v>
      </c>
      <c r="KU47" s="12" t="s">
        <v>619</v>
      </c>
      <c r="KV47" s="12" t="s">
        <v>34</v>
      </c>
      <c r="KW47" s="12" t="s">
        <v>34</v>
      </c>
      <c r="KX47" s="12" t="s">
        <v>34</v>
      </c>
      <c r="KY47" s="12" t="s">
        <v>619</v>
      </c>
      <c r="KZ47" s="12" t="s">
        <v>34</v>
      </c>
      <c r="LA47" s="12" t="s">
        <v>34</v>
      </c>
      <c r="LB47" s="12" t="s">
        <v>619</v>
      </c>
      <c r="LC47" s="12" t="s">
        <v>619</v>
      </c>
      <c r="LD47" s="12" t="s">
        <v>619</v>
      </c>
      <c r="LE47" s="12" t="s">
        <v>619</v>
      </c>
      <c r="LF47" s="12" t="s">
        <v>34</v>
      </c>
      <c r="LG47" s="12" t="s">
        <v>34</v>
      </c>
      <c r="LH47" s="12" t="s">
        <v>34</v>
      </c>
      <c r="LI47" s="12" t="s">
        <v>619</v>
      </c>
      <c r="LJ47" s="12" t="s">
        <v>619</v>
      </c>
      <c r="LK47" s="12" t="s">
        <v>619</v>
      </c>
      <c r="LL47" s="13" t="s">
        <v>34</v>
      </c>
      <c r="LM47" s="13" t="s">
        <v>34</v>
      </c>
      <c r="LN47" s="13" t="s">
        <v>34</v>
      </c>
      <c r="LO47" s="13" t="s">
        <v>34</v>
      </c>
      <c r="LP47" s="90" t="s">
        <v>34</v>
      </c>
      <c r="LQ47" s="13" t="s">
        <v>34</v>
      </c>
      <c r="LR47" s="13" t="s">
        <v>34</v>
      </c>
      <c r="LS47" s="13"/>
      <c r="LT47" s="13" t="s">
        <v>34</v>
      </c>
      <c r="LU47" s="13" t="s">
        <v>34</v>
      </c>
      <c r="LV47" s="13" t="s">
        <v>34</v>
      </c>
      <c r="LW47" s="13" t="s">
        <v>34</v>
      </c>
      <c r="LX47" s="13" t="s">
        <v>34</v>
      </c>
      <c r="LY47" s="13" t="s">
        <v>34</v>
      </c>
      <c r="LZ47" s="13" t="s">
        <v>34</v>
      </c>
      <c r="MA47" s="13" t="s">
        <v>34</v>
      </c>
      <c r="MB47" s="13" t="s">
        <v>34</v>
      </c>
      <c r="MC47" s="13" t="s">
        <v>34</v>
      </c>
      <c r="MD47" s="13" t="s">
        <v>34</v>
      </c>
      <c r="ME47" s="13" t="s">
        <v>34</v>
      </c>
      <c r="MF47" s="13" t="s">
        <v>34</v>
      </c>
      <c r="MG47" s="13" t="s">
        <v>34</v>
      </c>
      <c r="MH47" s="13" t="s">
        <v>34</v>
      </c>
      <c r="MI47" s="13" t="s">
        <v>34</v>
      </c>
      <c r="MJ47" s="13" t="s">
        <v>34</v>
      </c>
      <c r="MK47" s="13" t="s">
        <v>34</v>
      </c>
      <c r="ML47" s="13" t="s">
        <v>34</v>
      </c>
      <c r="MM47" s="13" t="s">
        <v>34</v>
      </c>
      <c r="MN47" s="13" t="s">
        <v>34</v>
      </c>
      <c r="MO47" s="13" t="s">
        <v>34</v>
      </c>
      <c r="MP47" s="13" t="s">
        <v>34</v>
      </c>
      <c r="MQ47" s="13" t="s">
        <v>34</v>
      </c>
      <c r="MR47" s="13" t="s">
        <v>34</v>
      </c>
      <c r="MS47" s="13" t="s">
        <v>34</v>
      </c>
      <c r="MT47" s="13" t="s">
        <v>34</v>
      </c>
      <c r="MU47" s="13" t="s">
        <v>34</v>
      </c>
      <c r="MV47" s="13" t="s">
        <v>34</v>
      </c>
      <c r="MW47" s="13" t="s">
        <v>34</v>
      </c>
      <c r="MX47" s="13" t="s">
        <v>34</v>
      </c>
      <c r="MY47" s="28" t="s">
        <v>296</v>
      </c>
      <c r="MZ47" s="28" t="s">
        <v>296</v>
      </c>
      <c r="NA47" s="28" t="s">
        <v>296</v>
      </c>
      <c r="NB47" s="28" t="s">
        <v>296</v>
      </c>
      <c r="NC47" s="28" t="s">
        <v>296</v>
      </c>
      <c r="ND47" s="28" t="s">
        <v>296</v>
      </c>
      <c r="NE47" s="28" t="s">
        <v>296</v>
      </c>
      <c r="NF47" s="28" t="s">
        <v>297</v>
      </c>
      <c r="NG47" s="28" t="s">
        <v>297</v>
      </c>
      <c r="NH47" s="28" t="s">
        <v>297</v>
      </c>
      <c r="NI47" s="177" t="s">
        <v>296</v>
      </c>
      <c r="NJ47" s="177" t="s">
        <v>297</v>
      </c>
      <c r="NK47" s="177" t="s">
        <v>296</v>
      </c>
      <c r="NL47" s="177" t="s">
        <v>296</v>
      </c>
      <c r="NM47" s="177" t="s">
        <v>297</v>
      </c>
      <c r="NN47" s="177" t="s">
        <v>296</v>
      </c>
      <c r="NO47" s="177" t="s">
        <v>296</v>
      </c>
      <c r="NP47" s="177" t="s">
        <v>297</v>
      </c>
      <c r="NQ47" s="177" t="s">
        <v>296</v>
      </c>
      <c r="NR47" s="12" t="s">
        <v>34</v>
      </c>
      <c r="NS47" s="13" t="s">
        <v>34</v>
      </c>
    </row>
    <row r="48" spans="1:383" x14ac:dyDescent="0.25">
      <c r="A48" s="8" t="s">
        <v>136</v>
      </c>
      <c r="B48" s="9" t="s">
        <v>137</v>
      </c>
      <c r="C48" s="9">
        <v>76</v>
      </c>
      <c r="D48" s="9" t="s">
        <v>54</v>
      </c>
      <c r="E48" s="10">
        <v>37</v>
      </c>
      <c r="F48" s="10">
        <v>36</v>
      </c>
      <c r="G48" s="10">
        <v>31</v>
      </c>
      <c r="H48" s="10">
        <v>36</v>
      </c>
      <c r="I48" s="10">
        <v>11</v>
      </c>
      <c r="J48" s="11">
        <v>175</v>
      </c>
      <c r="K48" s="11">
        <v>186</v>
      </c>
      <c r="L48" s="11">
        <v>176</v>
      </c>
      <c r="M48" s="11">
        <v>186</v>
      </c>
      <c r="N48" s="11">
        <v>75</v>
      </c>
      <c r="O48" s="13">
        <v>2646</v>
      </c>
      <c r="P48" s="13">
        <v>2603</v>
      </c>
      <c r="Q48" s="13">
        <v>2552</v>
      </c>
      <c r="R48" s="13">
        <v>2759</v>
      </c>
      <c r="S48" s="13">
        <v>1215</v>
      </c>
      <c r="T48" s="12">
        <v>591</v>
      </c>
      <c r="U48" s="12">
        <v>580</v>
      </c>
      <c r="V48" s="12">
        <v>589</v>
      </c>
      <c r="W48" s="12">
        <v>817</v>
      </c>
      <c r="X48" s="12">
        <v>143</v>
      </c>
      <c r="Y48" s="12">
        <v>5.6</v>
      </c>
      <c r="Z48" s="12">
        <v>5.6</v>
      </c>
      <c r="AA48" s="12">
        <v>5.6</v>
      </c>
      <c r="AB48" s="13">
        <v>4.8</v>
      </c>
      <c r="AC48" s="13">
        <v>4.8</v>
      </c>
      <c r="AD48" s="13">
        <v>4.8</v>
      </c>
      <c r="AE48" s="35" t="s">
        <v>259</v>
      </c>
      <c r="AF48" s="35" t="s">
        <v>259</v>
      </c>
      <c r="AG48" s="35" t="s">
        <v>259</v>
      </c>
      <c r="AH48" s="38">
        <v>1</v>
      </c>
      <c r="AI48" s="38">
        <v>1</v>
      </c>
      <c r="AJ48" s="38">
        <v>1</v>
      </c>
      <c r="AK48" s="45" t="s">
        <v>34</v>
      </c>
      <c r="AL48" s="45" t="s">
        <v>289</v>
      </c>
      <c r="AM48" s="45" t="s">
        <v>34</v>
      </c>
      <c r="AN48" s="45" t="s">
        <v>34</v>
      </c>
      <c r="AO48" s="45" t="s">
        <v>34</v>
      </c>
      <c r="AP48" s="45" t="s">
        <v>34</v>
      </c>
      <c r="AQ48" s="53" t="s">
        <v>297</v>
      </c>
      <c r="AR48" s="56">
        <v>50</v>
      </c>
      <c r="AS48" s="57">
        <v>18</v>
      </c>
      <c r="AT48" s="56">
        <v>22</v>
      </c>
      <c r="AU48" s="57">
        <v>7744</v>
      </c>
      <c r="AV48" s="57">
        <v>3346</v>
      </c>
      <c r="AW48" s="57">
        <v>1055</v>
      </c>
      <c r="AX48" s="57">
        <v>6</v>
      </c>
      <c r="AY48" s="57">
        <v>4</v>
      </c>
      <c r="AZ48" s="57">
        <v>0</v>
      </c>
      <c r="BA48" s="57">
        <v>574</v>
      </c>
      <c r="BB48" s="57">
        <v>403</v>
      </c>
      <c r="BC48" s="57">
        <v>594</v>
      </c>
      <c r="BD48" s="57">
        <v>498</v>
      </c>
      <c r="BE48" s="57">
        <v>412</v>
      </c>
      <c r="BF48" s="57">
        <v>466</v>
      </c>
      <c r="BG48" s="57">
        <v>0</v>
      </c>
      <c r="BH48" s="57">
        <v>0</v>
      </c>
      <c r="BI48" s="57">
        <v>0</v>
      </c>
      <c r="BJ48" s="57" t="s">
        <v>296</v>
      </c>
      <c r="BK48" s="57">
        <v>2</v>
      </c>
      <c r="BL48" s="57">
        <v>0</v>
      </c>
      <c r="BM48" s="57">
        <v>0</v>
      </c>
      <c r="BN48" s="57">
        <v>194</v>
      </c>
      <c r="BO48" s="57">
        <v>0</v>
      </c>
      <c r="BP48" s="57">
        <v>0</v>
      </c>
      <c r="BQ48" s="76">
        <v>208</v>
      </c>
      <c r="BR48" s="76">
        <v>196</v>
      </c>
      <c r="BS48">
        <v>184</v>
      </c>
      <c r="BT48">
        <v>184</v>
      </c>
      <c r="BU48">
        <v>182</v>
      </c>
      <c r="BV48">
        <v>16672</v>
      </c>
      <c r="BW48">
        <v>11773</v>
      </c>
      <c r="BX48">
        <v>11574</v>
      </c>
      <c r="BY48">
        <v>11320</v>
      </c>
      <c r="BZ48">
        <v>11159</v>
      </c>
      <c r="CA48">
        <v>77</v>
      </c>
      <c r="CB48">
        <v>72</v>
      </c>
      <c r="CC48">
        <v>75</v>
      </c>
      <c r="CD48">
        <v>83</v>
      </c>
      <c r="CE48">
        <v>31</v>
      </c>
      <c r="CF48">
        <v>3237</v>
      </c>
      <c r="CG48">
        <v>3183</v>
      </c>
      <c r="CH48">
        <v>3141</v>
      </c>
      <c r="CI48">
        <v>3576</v>
      </c>
      <c r="CJ48">
        <v>1358</v>
      </c>
      <c r="CK48" s="10">
        <v>30</v>
      </c>
      <c r="CL48" s="10">
        <v>30</v>
      </c>
      <c r="CM48" s="10">
        <v>30</v>
      </c>
      <c r="CN48" s="11">
        <v>16.5</v>
      </c>
      <c r="CO48" s="11">
        <v>16.5</v>
      </c>
      <c r="CP48" s="11">
        <v>16.5</v>
      </c>
      <c r="CQ48" s="13">
        <v>8</v>
      </c>
      <c r="CR48" s="13">
        <v>7</v>
      </c>
      <c r="CS48" s="13">
        <v>0</v>
      </c>
      <c r="CT48" s="10">
        <v>0</v>
      </c>
      <c r="CU48" s="10">
        <v>0</v>
      </c>
      <c r="CV48" s="10">
        <v>8</v>
      </c>
      <c r="CW48" s="10">
        <v>6</v>
      </c>
      <c r="CX48" s="10">
        <v>0</v>
      </c>
      <c r="CY48" s="10">
        <v>0</v>
      </c>
      <c r="CZ48" s="10">
        <v>0</v>
      </c>
      <c r="DA48" s="10">
        <v>0</v>
      </c>
      <c r="DB48" s="10">
        <v>0</v>
      </c>
      <c r="DC48" s="10">
        <v>0</v>
      </c>
      <c r="DD48" s="10">
        <v>0</v>
      </c>
      <c r="DE48" s="10">
        <v>0</v>
      </c>
      <c r="DF48" s="10">
        <v>0</v>
      </c>
      <c r="DG48" s="10">
        <v>0</v>
      </c>
      <c r="DH48" s="10">
        <v>0</v>
      </c>
      <c r="DI48" s="81">
        <v>4</v>
      </c>
      <c r="DJ48" s="81">
        <v>1</v>
      </c>
      <c r="DK48" s="81">
        <v>0</v>
      </c>
      <c r="DL48" s="81">
        <v>0</v>
      </c>
      <c r="DM48" s="81">
        <v>0</v>
      </c>
      <c r="DN48" s="12">
        <v>0</v>
      </c>
      <c r="DO48" s="12">
        <v>0</v>
      </c>
      <c r="DP48" s="12">
        <v>2</v>
      </c>
      <c r="DQ48" s="12">
        <v>1</v>
      </c>
      <c r="DR48" s="12">
        <v>0</v>
      </c>
      <c r="DS48" s="12">
        <v>0</v>
      </c>
      <c r="DT48" s="12">
        <v>0</v>
      </c>
      <c r="DU48" s="12">
        <v>0</v>
      </c>
      <c r="DV48" s="12">
        <v>1</v>
      </c>
      <c r="DW48" s="12">
        <v>1</v>
      </c>
      <c r="DX48" s="12">
        <v>0</v>
      </c>
      <c r="DY48" s="12">
        <v>4</v>
      </c>
      <c r="DZ48" s="12">
        <v>0</v>
      </c>
      <c r="EA48" s="12">
        <v>0</v>
      </c>
      <c r="EB48" s="12">
        <v>0</v>
      </c>
      <c r="EC48" s="12">
        <v>0</v>
      </c>
      <c r="ED48" s="12">
        <v>6</v>
      </c>
      <c r="EE48" s="12">
        <v>2</v>
      </c>
      <c r="EF48" s="12">
        <v>1</v>
      </c>
      <c r="EG48" s="12">
        <v>0</v>
      </c>
      <c r="EH48" s="12">
        <v>0</v>
      </c>
      <c r="EI48" s="12">
        <v>0</v>
      </c>
      <c r="EJ48" s="12">
        <v>0</v>
      </c>
      <c r="EK48" s="12">
        <v>0</v>
      </c>
      <c r="EL48" s="12">
        <v>3</v>
      </c>
      <c r="EM48" s="12">
        <v>0</v>
      </c>
      <c r="EN48" s="12">
        <v>0</v>
      </c>
      <c r="EO48" s="12">
        <v>0</v>
      </c>
      <c r="EP48" s="12">
        <v>0</v>
      </c>
      <c r="EQ48" s="12">
        <v>1</v>
      </c>
      <c r="ER48" s="12">
        <v>0</v>
      </c>
      <c r="ES48" s="13">
        <v>1</v>
      </c>
      <c r="ET48" s="13">
        <v>8</v>
      </c>
      <c r="EU48" s="13">
        <v>1</v>
      </c>
      <c r="EV48" s="10">
        <v>0</v>
      </c>
      <c r="EW48" s="10">
        <v>0</v>
      </c>
      <c r="EX48" s="10">
        <v>1</v>
      </c>
      <c r="EY48" s="10">
        <v>5</v>
      </c>
      <c r="EZ48" s="10">
        <v>0</v>
      </c>
      <c r="FA48" s="10">
        <v>0</v>
      </c>
      <c r="FB48" s="10">
        <v>0</v>
      </c>
      <c r="FC48" s="10">
        <v>0</v>
      </c>
      <c r="FD48" s="10">
        <v>3</v>
      </c>
      <c r="FE48" s="10">
        <v>0</v>
      </c>
      <c r="FF48" s="10">
        <v>0</v>
      </c>
      <c r="FG48" s="10">
        <v>0</v>
      </c>
      <c r="FH48" s="10">
        <v>0</v>
      </c>
      <c r="FI48" s="10">
        <v>0</v>
      </c>
      <c r="FJ48" s="10">
        <v>0</v>
      </c>
      <c r="FK48" s="81">
        <v>3</v>
      </c>
      <c r="FL48" s="81">
        <v>0</v>
      </c>
      <c r="FM48" s="81">
        <v>0</v>
      </c>
      <c r="FN48" s="81">
        <v>0</v>
      </c>
      <c r="FO48" s="81">
        <v>0</v>
      </c>
      <c r="FP48" s="12">
        <v>0</v>
      </c>
      <c r="FQ48" s="12">
        <v>0</v>
      </c>
      <c r="FR48" s="12">
        <v>1</v>
      </c>
      <c r="FS48" s="12">
        <v>0</v>
      </c>
      <c r="FT48" s="12">
        <v>0</v>
      </c>
      <c r="FU48" s="12">
        <v>0</v>
      </c>
      <c r="FV48" s="12">
        <v>0</v>
      </c>
      <c r="FW48" s="12">
        <v>0</v>
      </c>
      <c r="FX48" s="12">
        <v>0</v>
      </c>
      <c r="FY48" s="12">
        <v>0</v>
      </c>
      <c r="FZ48" s="12">
        <v>0</v>
      </c>
      <c r="GA48" s="12">
        <v>1</v>
      </c>
      <c r="GB48" s="12">
        <v>0</v>
      </c>
      <c r="GC48" s="12">
        <v>0</v>
      </c>
      <c r="GD48" s="12">
        <v>1</v>
      </c>
      <c r="GE48" s="12">
        <v>0</v>
      </c>
      <c r="GF48" s="12">
        <v>0</v>
      </c>
      <c r="GG48" s="12">
        <v>2</v>
      </c>
      <c r="GH48" s="12">
        <v>1</v>
      </c>
      <c r="GI48" s="12">
        <v>0</v>
      </c>
      <c r="GJ48" s="12">
        <v>0</v>
      </c>
      <c r="GK48" s="12">
        <v>0</v>
      </c>
      <c r="GL48" s="12">
        <v>0</v>
      </c>
      <c r="GM48" s="12">
        <v>0</v>
      </c>
      <c r="GN48" s="12">
        <v>1</v>
      </c>
      <c r="GO48" s="12">
        <v>0</v>
      </c>
      <c r="GP48" s="12">
        <v>0</v>
      </c>
      <c r="GQ48" s="12">
        <v>0</v>
      </c>
      <c r="GR48" s="12">
        <v>0</v>
      </c>
      <c r="GS48" s="12">
        <v>1</v>
      </c>
      <c r="GT48" s="12">
        <v>0</v>
      </c>
      <c r="GU48" s="13">
        <v>18</v>
      </c>
      <c r="GV48" s="13">
        <v>0</v>
      </c>
      <c r="GW48" s="13">
        <v>2</v>
      </c>
      <c r="GX48" s="13">
        <v>0</v>
      </c>
      <c r="GY48" s="10">
        <v>0</v>
      </c>
      <c r="GZ48" s="10">
        <v>0</v>
      </c>
      <c r="HA48" s="10">
        <v>0</v>
      </c>
      <c r="HB48" s="10">
        <v>0</v>
      </c>
      <c r="HC48" s="10">
        <v>0</v>
      </c>
      <c r="HD48" s="10">
        <v>0</v>
      </c>
      <c r="HE48" s="10">
        <v>0</v>
      </c>
      <c r="HF48" s="10">
        <v>0</v>
      </c>
      <c r="HG48" s="10">
        <v>0</v>
      </c>
      <c r="HH48" s="10">
        <v>0</v>
      </c>
      <c r="HI48" s="10">
        <v>0</v>
      </c>
      <c r="HJ48" s="10">
        <v>0</v>
      </c>
      <c r="HK48" s="10">
        <v>0</v>
      </c>
      <c r="HL48" s="10">
        <v>0</v>
      </c>
      <c r="HM48" s="10">
        <v>0</v>
      </c>
      <c r="HN48" s="81">
        <v>0</v>
      </c>
      <c r="HO48" s="81">
        <v>0</v>
      </c>
      <c r="HP48" s="81">
        <v>0</v>
      </c>
      <c r="HQ48" s="81">
        <v>0</v>
      </c>
      <c r="HR48" s="81">
        <v>0</v>
      </c>
      <c r="HS48" s="12">
        <v>0</v>
      </c>
      <c r="HT48" s="12">
        <v>0</v>
      </c>
      <c r="HU48" s="12">
        <v>0</v>
      </c>
      <c r="HV48" s="12">
        <v>0</v>
      </c>
      <c r="HW48" s="12">
        <v>0</v>
      </c>
      <c r="HX48" s="12">
        <v>0</v>
      </c>
      <c r="HY48" s="12">
        <v>0</v>
      </c>
      <c r="HZ48" s="12">
        <v>0</v>
      </c>
      <c r="IA48" s="12">
        <v>0</v>
      </c>
      <c r="IB48" s="12">
        <v>0</v>
      </c>
      <c r="IC48" s="12">
        <v>0</v>
      </c>
      <c r="ID48" s="12">
        <v>0</v>
      </c>
      <c r="IE48" s="12">
        <v>0</v>
      </c>
      <c r="IF48" s="12">
        <v>0</v>
      </c>
      <c r="IG48" s="12">
        <v>0</v>
      </c>
      <c r="IH48" s="12">
        <v>0</v>
      </c>
      <c r="II48" s="12">
        <v>0</v>
      </c>
      <c r="IJ48" s="12">
        <v>0</v>
      </c>
      <c r="IK48" s="12">
        <v>8</v>
      </c>
      <c r="IL48" s="12">
        <v>0</v>
      </c>
      <c r="IM48" s="12">
        <v>0</v>
      </c>
      <c r="IN48" s="12">
        <v>0</v>
      </c>
      <c r="IO48" s="12">
        <v>0</v>
      </c>
      <c r="IP48" s="12">
        <v>0</v>
      </c>
      <c r="IQ48" s="12">
        <v>0</v>
      </c>
      <c r="IR48" s="12">
        <v>6</v>
      </c>
      <c r="IS48" s="12">
        <v>0</v>
      </c>
      <c r="IT48" s="12">
        <v>0</v>
      </c>
      <c r="IU48" s="12">
        <v>0</v>
      </c>
      <c r="IV48" s="12">
        <v>0</v>
      </c>
      <c r="IW48" s="12">
        <v>0</v>
      </c>
      <c r="IX48" s="11">
        <v>6500</v>
      </c>
      <c r="IY48" s="11">
        <v>6500</v>
      </c>
      <c r="IZ48" s="11">
        <v>6500</v>
      </c>
      <c r="JA48" s="85">
        <v>0</v>
      </c>
      <c r="JB48" s="85">
        <v>0</v>
      </c>
      <c r="JC48" s="85">
        <v>0</v>
      </c>
      <c r="JD48" s="12">
        <v>4</v>
      </c>
      <c r="JE48" s="12">
        <v>0</v>
      </c>
      <c r="JF48" s="12">
        <v>4</v>
      </c>
      <c r="JG48" s="12">
        <v>1</v>
      </c>
      <c r="JH48" s="12">
        <v>4</v>
      </c>
      <c r="JI48" s="12">
        <v>1</v>
      </c>
      <c r="JJ48" s="13" t="s">
        <v>619</v>
      </c>
      <c r="JK48" s="13" t="s">
        <v>620</v>
      </c>
      <c r="JL48" s="13" t="s">
        <v>297</v>
      </c>
      <c r="JM48" s="89"/>
      <c r="JN48" s="89"/>
      <c r="JO48" s="89" t="s">
        <v>296</v>
      </c>
      <c r="JP48" s="89"/>
      <c r="JQ48" s="89"/>
      <c r="JR48" s="89" t="s">
        <v>297</v>
      </c>
      <c r="JS48" s="89" t="s">
        <v>620</v>
      </c>
      <c r="JT48" s="89" t="s">
        <v>620</v>
      </c>
      <c r="JU48" s="89" t="s">
        <v>297</v>
      </c>
      <c r="JV48" s="89"/>
      <c r="JW48" s="89"/>
      <c r="JX48" s="89" t="s">
        <v>297</v>
      </c>
      <c r="JY48" s="12" t="s">
        <v>34</v>
      </c>
      <c r="JZ48" s="12" t="s">
        <v>34</v>
      </c>
      <c r="KA48" s="12" t="s">
        <v>34</v>
      </c>
      <c r="KB48" s="12" t="s">
        <v>34</v>
      </c>
      <c r="KC48" s="12" t="s">
        <v>34</v>
      </c>
      <c r="KD48" s="12" t="s">
        <v>34</v>
      </c>
      <c r="KE48" s="12" t="s">
        <v>34</v>
      </c>
      <c r="KF48" s="12"/>
      <c r="KG48" s="12" t="s">
        <v>34</v>
      </c>
      <c r="KH48" s="12" t="s">
        <v>34</v>
      </c>
      <c r="KI48" s="12" t="s">
        <v>34</v>
      </c>
      <c r="KJ48" s="12" t="s">
        <v>34</v>
      </c>
      <c r="KK48" s="12" t="s">
        <v>34</v>
      </c>
      <c r="KL48" s="12" t="s">
        <v>34</v>
      </c>
      <c r="KM48" s="12" t="s">
        <v>34</v>
      </c>
      <c r="KN48" s="12" t="s">
        <v>34</v>
      </c>
      <c r="KO48" s="12" t="s">
        <v>34</v>
      </c>
      <c r="KP48" s="12" t="s">
        <v>34</v>
      </c>
      <c r="KQ48" s="12" t="s">
        <v>34</v>
      </c>
      <c r="KR48" s="12" t="s">
        <v>34</v>
      </c>
      <c r="KS48" s="12" t="s">
        <v>34</v>
      </c>
      <c r="KT48" s="12" t="s">
        <v>34</v>
      </c>
      <c r="KU48" s="12" t="s">
        <v>34</v>
      </c>
      <c r="KV48" s="12" t="s">
        <v>34</v>
      </c>
      <c r="KW48" s="12" t="s">
        <v>34</v>
      </c>
      <c r="KX48" s="12" t="s">
        <v>34</v>
      </c>
      <c r="KY48" s="12" t="s">
        <v>34</v>
      </c>
      <c r="KZ48" s="12" t="s">
        <v>34</v>
      </c>
      <c r="LA48" s="12" t="s">
        <v>34</v>
      </c>
      <c r="LB48" s="12" t="s">
        <v>34</v>
      </c>
      <c r="LC48" s="12" t="s">
        <v>34</v>
      </c>
      <c r="LD48" s="12" t="s">
        <v>34</v>
      </c>
      <c r="LE48" s="12" t="s">
        <v>34</v>
      </c>
      <c r="LF48" s="12" t="s">
        <v>34</v>
      </c>
      <c r="LG48" s="12" t="s">
        <v>34</v>
      </c>
      <c r="LH48" s="12" t="s">
        <v>34</v>
      </c>
      <c r="LI48" s="12" t="s">
        <v>619</v>
      </c>
      <c r="LJ48" s="12" t="s">
        <v>619</v>
      </c>
      <c r="LK48" s="12" t="s">
        <v>34</v>
      </c>
      <c r="LL48" s="13" t="s">
        <v>619</v>
      </c>
      <c r="LM48" s="13" t="s">
        <v>34</v>
      </c>
      <c r="LN48" s="13" t="s">
        <v>619</v>
      </c>
      <c r="LO48" s="13" t="s">
        <v>34</v>
      </c>
      <c r="LP48" s="90" t="s">
        <v>619</v>
      </c>
      <c r="LQ48" s="13" t="s">
        <v>34</v>
      </c>
      <c r="LR48" s="13" t="s">
        <v>34</v>
      </c>
      <c r="LS48" s="13"/>
      <c r="LT48" s="13" t="s">
        <v>34</v>
      </c>
      <c r="LU48" s="13" t="s">
        <v>34</v>
      </c>
      <c r="LV48" s="13" t="s">
        <v>34</v>
      </c>
      <c r="LW48" s="13" t="s">
        <v>34</v>
      </c>
      <c r="LX48" s="13" t="s">
        <v>34</v>
      </c>
      <c r="LY48" s="13" t="s">
        <v>34</v>
      </c>
      <c r="LZ48" s="13" t="s">
        <v>619</v>
      </c>
      <c r="MA48" s="13" t="s">
        <v>619</v>
      </c>
      <c r="MB48" s="13" t="s">
        <v>619</v>
      </c>
      <c r="MC48" s="13" t="s">
        <v>34</v>
      </c>
      <c r="MD48" s="13" t="s">
        <v>619</v>
      </c>
      <c r="ME48" s="13" t="s">
        <v>34</v>
      </c>
      <c r="MF48" s="13" t="s">
        <v>34</v>
      </c>
      <c r="MG48" s="13" t="s">
        <v>34</v>
      </c>
      <c r="MH48" s="13" t="s">
        <v>34</v>
      </c>
      <c r="MI48" s="13" t="s">
        <v>34</v>
      </c>
      <c r="MJ48" s="13" t="s">
        <v>34</v>
      </c>
      <c r="MK48" s="13" t="s">
        <v>34</v>
      </c>
      <c r="ML48" s="13" t="s">
        <v>34</v>
      </c>
      <c r="MM48" s="13" t="s">
        <v>34</v>
      </c>
      <c r="MN48" s="13" t="s">
        <v>34</v>
      </c>
      <c r="MO48" s="13" t="s">
        <v>619</v>
      </c>
      <c r="MP48" s="13" t="s">
        <v>34</v>
      </c>
      <c r="MQ48" s="13" t="s">
        <v>619</v>
      </c>
      <c r="MR48" s="13" t="s">
        <v>34</v>
      </c>
      <c r="MS48" s="13" t="s">
        <v>34</v>
      </c>
      <c r="MT48" s="13" t="s">
        <v>34</v>
      </c>
      <c r="MU48" s="13" t="s">
        <v>34</v>
      </c>
      <c r="MV48" s="13" t="s">
        <v>34</v>
      </c>
      <c r="MW48" s="13" t="s">
        <v>34</v>
      </c>
      <c r="MX48" s="13" t="s">
        <v>34</v>
      </c>
      <c r="MY48" s="28" t="s">
        <v>296</v>
      </c>
      <c r="MZ48" s="28" t="s">
        <v>297</v>
      </c>
      <c r="NA48" s="28" t="s">
        <v>296</v>
      </c>
      <c r="NB48" s="28" t="s">
        <v>296</v>
      </c>
      <c r="NC48" s="28" t="s">
        <v>296</v>
      </c>
      <c r="ND48" s="28" t="s">
        <v>297</v>
      </c>
      <c r="NE48" s="28" t="s">
        <v>296</v>
      </c>
      <c r="NF48" s="28" t="s">
        <v>297</v>
      </c>
      <c r="NG48" s="28" t="s">
        <v>297</v>
      </c>
      <c r="NH48" s="28" t="s">
        <v>297</v>
      </c>
      <c r="NI48" s="177" t="s">
        <v>296</v>
      </c>
      <c r="NJ48" s="177" t="s">
        <v>297</v>
      </c>
      <c r="NK48" s="177" t="s">
        <v>297</v>
      </c>
      <c r="NL48" s="177" t="s">
        <v>297</v>
      </c>
      <c r="NM48" s="177" t="s">
        <v>296</v>
      </c>
      <c r="NN48" s="177" t="s">
        <v>296</v>
      </c>
      <c r="NO48" s="177" t="s">
        <v>296</v>
      </c>
      <c r="NP48" s="177" t="s">
        <v>296</v>
      </c>
      <c r="NQ48" s="177" t="s">
        <v>296</v>
      </c>
      <c r="NR48" s="12" t="s">
        <v>34</v>
      </c>
      <c r="NS48" s="13" t="s">
        <v>34</v>
      </c>
    </row>
    <row r="49" spans="1:383" x14ac:dyDescent="0.25">
      <c r="A49" s="8" t="s">
        <v>138</v>
      </c>
      <c r="B49" s="9" t="s">
        <v>139</v>
      </c>
      <c r="C49" s="9">
        <v>75</v>
      </c>
      <c r="D49" s="9" t="s">
        <v>70</v>
      </c>
      <c r="E49" s="10">
        <v>49</v>
      </c>
      <c r="F49" s="10">
        <v>49</v>
      </c>
      <c r="G49" s="10">
        <v>50</v>
      </c>
      <c r="H49" s="10">
        <v>51</v>
      </c>
      <c r="I49" s="10">
        <v>44</v>
      </c>
      <c r="J49" s="11">
        <v>373</v>
      </c>
      <c r="K49" s="11">
        <v>391</v>
      </c>
      <c r="L49" s="11">
        <v>483</v>
      </c>
      <c r="M49" s="11">
        <v>383</v>
      </c>
      <c r="N49" s="11">
        <v>228</v>
      </c>
      <c r="O49" s="13">
        <v>2157</v>
      </c>
      <c r="P49" s="13">
        <v>2359</v>
      </c>
      <c r="Q49" s="13">
        <v>2491</v>
      </c>
      <c r="R49" s="13">
        <v>2555</v>
      </c>
      <c r="S49" s="13">
        <v>1377</v>
      </c>
      <c r="T49" s="12">
        <v>723</v>
      </c>
      <c r="U49" s="12">
        <v>851</v>
      </c>
      <c r="V49" s="12">
        <v>896</v>
      </c>
      <c r="W49" s="12">
        <v>873</v>
      </c>
      <c r="X49" s="12">
        <v>409</v>
      </c>
      <c r="Y49" s="12">
        <v>5.1100000000000003</v>
      </c>
      <c r="Z49" s="12">
        <v>5.13</v>
      </c>
      <c r="AA49" s="12">
        <v>5.15</v>
      </c>
      <c r="AB49" s="13">
        <v>4.46</v>
      </c>
      <c r="AC49" s="13">
        <v>4.4800000000000004</v>
      </c>
      <c r="AD49" s="13">
        <v>4.5</v>
      </c>
      <c r="AE49" s="35" t="s">
        <v>259</v>
      </c>
      <c r="AF49" s="35" t="s">
        <v>259</v>
      </c>
      <c r="AG49" s="35" t="s">
        <v>259</v>
      </c>
      <c r="AH49" s="38">
        <v>1</v>
      </c>
      <c r="AI49" s="38">
        <v>1</v>
      </c>
      <c r="AJ49" s="38">
        <v>1</v>
      </c>
      <c r="AK49" s="45" t="s">
        <v>288</v>
      </c>
      <c r="AL49" s="45" t="s">
        <v>34</v>
      </c>
      <c r="AM49" s="45" t="s">
        <v>34</v>
      </c>
      <c r="AN49" s="45" t="s">
        <v>34</v>
      </c>
      <c r="AO49" s="45" t="s">
        <v>34</v>
      </c>
      <c r="AP49" s="45" t="s">
        <v>292</v>
      </c>
      <c r="AQ49" s="53" t="s">
        <v>296</v>
      </c>
      <c r="AR49" s="56">
        <v>81</v>
      </c>
      <c r="AS49" s="57">
        <v>96</v>
      </c>
      <c r="AT49" s="56">
        <v>39</v>
      </c>
      <c r="AU49" s="57">
        <v>8762</v>
      </c>
      <c r="AV49" s="57">
        <v>10344</v>
      </c>
      <c r="AW49" s="57">
        <v>2186</v>
      </c>
      <c r="AX49" s="57">
        <v>12</v>
      </c>
      <c r="AY49" s="57">
        <v>8</v>
      </c>
      <c r="AZ49" s="57">
        <v>13</v>
      </c>
      <c r="BA49" s="57">
        <v>3477</v>
      </c>
      <c r="BB49" s="57">
        <v>5174</v>
      </c>
      <c r="BC49" s="57">
        <v>3903</v>
      </c>
      <c r="BD49" s="57">
        <v>3578</v>
      </c>
      <c r="BE49" s="57">
        <v>5345</v>
      </c>
      <c r="BF49" s="57">
        <v>5691</v>
      </c>
      <c r="BG49" s="57">
        <v>475</v>
      </c>
      <c r="BH49" s="57">
        <v>493</v>
      </c>
      <c r="BI49" s="57">
        <v>1392</v>
      </c>
      <c r="BJ49" s="57" t="s">
        <v>296</v>
      </c>
      <c r="BK49" s="57">
        <v>16</v>
      </c>
      <c r="BL49" s="57">
        <v>0</v>
      </c>
      <c r="BM49" s="57">
        <v>0</v>
      </c>
      <c r="BN49" s="57">
        <v>71</v>
      </c>
      <c r="BO49" s="57">
        <v>328</v>
      </c>
      <c r="BP49" s="57">
        <v>48</v>
      </c>
      <c r="BQ49" s="76">
        <v>315</v>
      </c>
      <c r="BR49" s="76">
        <v>314</v>
      </c>
      <c r="BS49">
        <v>314</v>
      </c>
      <c r="BT49">
        <v>314</v>
      </c>
      <c r="BU49">
        <v>312</v>
      </c>
      <c r="BV49">
        <v>26753</v>
      </c>
      <c r="BW49">
        <v>26442</v>
      </c>
      <c r="BX49">
        <v>26043</v>
      </c>
      <c r="BY49">
        <v>25798</v>
      </c>
      <c r="BZ49">
        <v>25346</v>
      </c>
      <c r="CA49">
        <v>49</v>
      </c>
      <c r="CB49">
        <v>63</v>
      </c>
      <c r="CC49">
        <v>63</v>
      </c>
      <c r="CD49">
        <v>77</v>
      </c>
      <c r="CE49">
        <v>57</v>
      </c>
      <c r="CF49">
        <v>2880</v>
      </c>
      <c r="CG49">
        <v>3210</v>
      </c>
      <c r="CH49">
        <v>3387</v>
      </c>
      <c r="CI49">
        <v>3428</v>
      </c>
      <c r="CJ49">
        <v>1786</v>
      </c>
      <c r="CK49" s="10">
        <v>27.5</v>
      </c>
      <c r="CL49" s="10">
        <v>27.6</v>
      </c>
      <c r="CM49" s="10">
        <v>27.6</v>
      </c>
      <c r="CN49" s="11">
        <v>17.71</v>
      </c>
      <c r="CO49" s="11">
        <v>17.71</v>
      </c>
      <c r="CP49" s="11">
        <v>17.71</v>
      </c>
      <c r="CQ49" s="13">
        <v>13</v>
      </c>
      <c r="CR49" s="13">
        <v>7</v>
      </c>
      <c r="CS49" s="13">
        <v>0</v>
      </c>
      <c r="CT49" s="10">
        <v>0</v>
      </c>
      <c r="CU49" s="10">
        <v>1</v>
      </c>
      <c r="CV49" s="10">
        <v>14</v>
      </c>
      <c r="CW49" s="10">
        <v>9</v>
      </c>
      <c r="CX49" s="10">
        <v>5</v>
      </c>
      <c r="CY49" s="10">
        <v>1</v>
      </c>
      <c r="CZ49" s="10">
        <v>0</v>
      </c>
      <c r="DA49" s="10">
        <v>0</v>
      </c>
      <c r="DB49" s="10">
        <v>1</v>
      </c>
      <c r="DC49" s="10">
        <v>1</v>
      </c>
      <c r="DD49" s="10">
        <v>0</v>
      </c>
      <c r="DE49" s="10">
        <v>0</v>
      </c>
      <c r="DF49" s="10">
        <v>3</v>
      </c>
      <c r="DG49" s="10">
        <v>0</v>
      </c>
      <c r="DH49" s="10">
        <v>3</v>
      </c>
      <c r="DI49" s="81">
        <v>1</v>
      </c>
      <c r="DJ49" s="81">
        <v>2</v>
      </c>
      <c r="DK49" s="81">
        <v>8</v>
      </c>
      <c r="DL49" s="81">
        <v>0</v>
      </c>
      <c r="DM49" s="81">
        <v>3</v>
      </c>
      <c r="DN49" s="12">
        <v>0</v>
      </c>
      <c r="DO49" s="12">
        <v>0</v>
      </c>
      <c r="DP49" s="12">
        <v>14</v>
      </c>
      <c r="DQ49" s="12">
        <v>3</v>
      </c>
      <c r="DR49" s="12">
        <v>1</v>
      </c>
      <c r="DS49" s="12">
        <v>1</v>
      </c>
      <c r="DT49" s="12">
        <v>0</v>
      </c>
      <c r="DU49" s="12">
        <v>0</v>
      </c>
      <c r="DV49" s="12">
        <v>3</v>
      </c>
      <c r="DW49" s="12">
        <v>2</v>
      </c>
      <c r="DX49" s="12">
        <v>6</v>
      </c>
      <c r="DY49" s="12">
        <v>2</v>
      </c>
      <c r="DZ49" s="12">
        <v>1</v>
      </c>
      <c r="EA49" s="12">
        <v>0</v>
      </c>
      <c r="EB49" s="12">
        <v>8</v>
      </c>
      <c r="EC49" s="12">
        <v>0</v>
      </c>
      <c r="ED49" s="12">
        <v>3</v>
      </c>
      <c r="EE49" s="12">
        <v>5</v>
      </c>
      <c r="EF49" s="12">
        <v>8</v>
      </c>
      <c r="EG49" s="12">
        <v>0</v>
      </c>
      <c r="EH49" s="12">
        <v>0</v>
      </c>
      <c r="EI49" s="12">
        <v>0</v>
      </c>
      <c r="EJ49" s="12">
        <v>0</v>
      </c>
      <c r="EK49" s="12">
        <v>0</v>
      </c>
      <c r="EL49" s="12">
        <v>2</v>
      </c>
      <c r="EM49" s="12">
        <v>3</v>
      </c>
      <c r="EN49" s="12">
        <v>2</v>
      </c>
      <c r="EO49" s="12">
        <v>1</v>
      </c>
      <c r="EP49" s="12">
        <v>2</v>
      </c>
      <c r="EQ49" s="12">
        <v>3</v>
      </c>
      <c r="ER49" s="12">
        <v>0</v>
      </c>
      <c r="ES49" s="13">
        <v>12</v>
      </c>
      <c r="ET49" s="13">
        <v>11</v>
      </c>
      <c r="EU49" s="13">
        <v>3</v>
      </c>
      <c r="EV49" s="10">
        <v>0</v>
      </c>
      <c r="EW49" s="10">
        <v>0</v>
      </c>
      <c r="EX49" s="10">
        <v>13</v>
      </c>
      <c r="EY49" s="10">
        <v>6</v>
      </c>
      <c r="EZ49" s="10">
        <v>9</v>
      </c>
      <c r="FA49" s="10">
        <v>0</v>
      </c>
      <c r="FB49" s="10">
        <v>0</v>
      </c>
      <c r="FC49" s="10">
        <v>0</v>
      </c>
      <c r="FD49" s="10">
        <v>0</v>
      </c>
      <c r="FE49" s="10">
        <v>0</v>
      </c>
      <c r="FF49" s="10">
        <v>0</v>
      </c>
      <c r="FG49" s="10">
        <v>0</v>
      </c>
      <c r="FH49" s="10">
        <v>1</v>
      </c>
      <c r="FI49" s="10">
        <v>0</v>
      </c>
      <c r="FJ49" s="10">
        <v>1</v>
      </c>
      <c r="FK49" s="81">
        <v>1</v>
      </c>
      <c r="FL49" s="81">
        <v>0</v>
      </c>
      <c r="FM49" s="81">
        <v>7</v>
      </c>
      <c r="FN49" s="81">
        <v>0</v>
      </c>
      <c r="FO49" s="81">
        <v>3</v>
      </c>
      <c r="FP49" s="12">
        <v>0</v>
      </c>
      <c r="FQ49" s="12">
        <v>0</v>
      </c>
      <c r="FR49" s="12">
        <v>8</v>
      </c>
      <c r="FS49" s="12">
        <v>0</v>
      </c>
      <c r="FT49" s="12">
        <v>0</v>
      </c>
      <c r="FU49" s="12">
        <v>0</v>
      </c>
      <c r="FV49" s="12">
        <v>0</v>
      </c>
      <c r="FW49" s="12">
        <v>0</v>
      </c>
      <c r="FX49" s="12">
        <v>10</v>
      </c>
      <c r="FY49" s="12">
        <v>0</v>
      </c>
      <c r="FZ49" s="12">
        <v>0</v>
      </c>
      <c r="GA49" s="12">
        <v>0</v>
      </c>
      <c r="GB49" s="12">
        <v>1</v>
      </c>
      <c r="GC49" s="12">
        <v>0</v>
      </c>
      <c r="GD49" s="12">
        <v>3</v>
      </c>
      <c r="GE49" s="12">
        <v>1</v>
      </c>
      <c r="GF49" s="12">
        <v>4</v>
      </c>
      <c r="GG49" s="12">
        <v>4</v>
      </c>
      <c r="GH49" s="12">
        <v>2</v>
      </c>
      <c r="GI49" s="12">
        <v>0</v>
      </c>
      <c r="GJ49" s="12">
        <v>0</v>
      </c>
      <c r="GK49" s="12">
        <v>1</v>
      </c>
      <c r="GL49" s="12">
        <v>0</v>
      </c>
      <c r="GM49" s="12">
        <v>4</v>
      </c>
      <c r="GN49" s="12">
        <v>4</v>
      </c>
      <c r="GO49" s="12">
        <v>0</v>
      </c>
      <c r="GP49" s="12">
        <v>2</v>
      </c>
      <c r="GQ49" s="12">
        <v>0</v>
      </c>
      <c r="GR49" s="12">
        <v>0</v>
      </c>
      <c r="GS49" s="12">
        <v>1</v>
      </c>
      <c r="GT49" s="12">
        <v>4</v>
      </c>
      <c r="GU49" s="13">
        <v>96</v>
      </c>
      <c r="GV49" s="13">
        <v>16</v>
      </c>
      <c r="GW49" s="13">
        <v>6</v>
      </c>
      <c r="GX49" s="13">
        <v>0</v>
      </c>
      <c r="GY49" s="10">
        <v>1</v>
      </c>
      <c r="GZ49" s="10">
        <v>0</v>
      </c>
      <c r="HA49" s="10">
        <v>6</v>
      </c>
      <c r="HB49" s="10">
        <v>3</v>
      </c>
      <c r="HC49" s="10">
        <v>8</v>
      </c>
      <c r="HD49" s="10">
        <v>0</v>
      </c>
      <c r="HE49" s="10">
        <v>0</v>
      </c>
      <c r="HF49" s="10">
        <v>0</v>
      </c>
      <c r="HG49" s="10">
        <v>2</v>
      </c>
      <c r="HH49" s="10">
        <v>0</v>
      </c>
      <c r="HI49" s="10">
        <v>0</v>
      </c>
      <c r="HJ49" s="10">
        <v>0</v>
      </c>
      <c r="HK49" s="10">
        <v>0</v>
      </c>
      <c r="HL49" s="10">
        <v>1</v>
      </c>
      <c r="HM49" s="10">
        <v>0</v>
      </c>
      <c r="HN49" s="81">
        <v>0</v>
      </c>
      <c r="HO49" s="81">
        <v>0</v>
      </c>
      <c r="HP49" s="81">
        <v>9</v>
      </c>
      <c r="HQ49" s="81">
        <v>0</v>
      </c>
      <c r="HR49" s="81">
        <v>1</v>
      </c>
      <c r="HS49" s="12">
        <v>0</v>
      </c>
      <c r="HT49" s="12">
        <v>0</v>
      </c>
      <c r="HU49" s="12">
        <v>2</v>
      </c>
      <c r="HV49" s="12">
        <v>0</v>
      </c>
      <c r="HW49" s="12">
        <v>0</v>
      </c>
      <c r="HX49" s="12">
        <v>0</v>
      </c>
      <c r="HY49" s="12">
        <v>0</v>
      </c>
      <c r="HZ49" s="12">
        <v>0</v>
      </c>
      <c r="IA49" s="12">
        <v>0</v>
      </c>
      <c r="IB49" s="12">
        <v>3</v>
      </c>
      <c r="IC49" s="12">
        <v>1</v>
      </c>
      <c r="ID49" s="12">
        <v>1</v>
      </c>
      <c r="IE49" s="12">
        <v>0</v>
      </c>
      <c r="IF49" s="12">
        <v>0</v>
      </c>
      <c r="IG49" s="12">
        <v>9</v>
      </c>
      <c r="IH49" s="12">
        <v>0</v>
      </c>
      <c r="II49" s="12">
        <v>2</v>
      </c>
      <c r="IJ49" s="12">
        <v>0</v>
      </c>
      <c r="IK49" s="12">
        <v>0</v>
      </c>
      <c r="IL49" s="12">
        <v>0</v>
      </c>
      <c r="IM49" s="12">
        <v>0</v>
      </c>
      <c r="IN49" s="12">
        <v>0</v>
      </c>
      <c r="IO49" s="12">
        <v>0</v>
      </c>
      <c r="IP49" s="12">
        <v>0</v>
      </c>
      <c r="IQ49" s="12">
        <v>0</v>
      </c>
      <c r="IR49" s="12">
        <v>2</v>
      </c>
      <c r="IS49" s="12">
        <v>3</v>
      </c>
      <c r="IT49" s="12">
        <v>1</v>
      </c>
      <c r="IU49" s="12">
        <v>0</v>
      </c>
      <c r="IV49" s="12">
        <v>0</v>
      </c>
      <c r="IW49" s="12">
        <v>0</v>
      </c>
      <c r="IX49" s="11">
        <v>10000</v>
      </c>
      <c r="IY49" s="11">
        <v>10000</v>
      </c>
      <c r="IZ49" s="11">
        <v>10000</v>
      </c>
      <c r="JA49" s="85">
        <v>1</v>
      </c>
      <c r="JB49" s="85">
        <v>1</v>
      </c>
      <c r="JC49" s="85">
        <v>0</v>
      </c>
      <c r="JD49" s="12">
        <v>6</v>
      </c>
      <c r="JE49" s="12">
        <v>2</v>
      </c>
      <c r="JF49" s="12">
        <v>6</v>
      </c>
      <c r="JG49" s="12">
        <v>1</v>
      </c>
      <c r="JH49" s="12">
        <v>6</v>
      </c>
      <c r="JI49" s="12">
        <v>1</v>
      </c>
      <c r="JJ49" s="13" t="s">
        <v>619</v>
      </c>
      <c r="JK49" s="13" t="s">
        <v>619</v>
      </c>
      <c r="JL49" s="13" t="s">
        <v>296</v>
      </c>
      <c r="JM49" s="89"/>
      <c r="JN49" s="89"/>
      <c r="JO49" s="89" t="s">
        <v>296</v>
      </c>
      <c r="JP49" s="89"/>
      <c r="JQ49" s="89"/>
      <c r="JR49" s="89" t="s">
        <v>296</v>
      </c>
      <c r="JS49" s="89" t="s">
        <v>620</v>
      </c>
      <c r="JT49" s="89" t="s">
        <v>620</v>
      </c>
      <c r="JU49" s="89" t="s">
        <v>296</v>
      </c>
      <c r="JV49" s="89"/>
      <c r="JW49" s="89"/>
      <c r="JX49" s="89" t="s">
        <v>297</v>
      </c>
      <c r="JY49" s="12" t="s">
        <v>34</v>
      </c>
      <c r="JZ49" s="12" t="s">
        <v>34</v>
      </c>
      <c r="KA49" s="12" t="s">
        <v>34</v>
      </c>
      <c r="KB49" s="12" t="s">
        <v>34</v>
      </c>
      <c r="KC49" s="12" t="s">
        <v>619</v>
      </c>
      <c r="KD49" s="12" t="s">
        <v>34</v>
      </c>
      <c r="KE49" s="12" t="s">
        <v>34</v>
      </c>
      <c r="KF49" s="12"/>
      <c r="KG49" s="12" t="s">
        <v>34</v>
      </c>
      <c r="KH49" s="12" t="s">
        <v>34</v>
      </c>
      <c r="KI49" s="12" t="s">
        <v>34</v>
      </c>
      <c r="KJ49" s="12" t="s">
        <v>34</v>
      </c>
      <c r="KK49" s="12" t="s">
        <v>34</v>
      </c>
      <c r="KL49" s="12" t="s">
        <v>34</v>
      </c>
      <c r="KM49" s="12" t="s">
        <v>619</v>
      </c>
      <c r="KN49" s="12" t="s">
        <v>619</v>
      </c>
      <c r="KO49" s="12" t="s">
        <v>34</v>
      </c>
      <c r="KP49" s="12" t="s">
        <v>619</v>
      </c>
      <c r="KQ49" s="12" t="s">
        <v>619</v>
      </c>
      <c r="KR49" s="12" t="s">
        <v>34</v>
      </c>
      <c r="KS49" s="12" t="s">
        <v>34</v>
      </c>
      <c r="KT49" s="12" t="s">
        <v>34</v>
      </c>
      <c r="KU49" s="12" t="s">
        <v>34</v>
      </c>
      <c r="KV49" s="12" t="s">
        <v>34</v>
      </c>
      <c r="KW49" s="12" t="s">
        <v>34</v>
      </c>
      <c r="KX49" s="12" t="s">
        <v>34</v>
      </c>
      <c r="KY49" s="12" t="s">
        <v>34</v>
      </c>
      <c r="KZ49" s="12" t="s">
        <v>34</v>
      </c>
      <c r="LA49" s="12" t="s">
        <v>34</v>
      </c>
      <c r="LB49" s="12" t="s">
        <v>34</v>
      </c>
      <c r="LC49" s="12" t="s">
        <v>619</v>
      </c>
      <c r="LD49" s="12" t="s">
        <v>619</v>
      </c>
      <c r="LE49" s="12" t="s">
        <v>34</v>
      </c>
      <c r="LF49" s="12" t="s">
        <v>34</v>
      </c>
      <c r="LG49" s="12" t="s">
        <v>34</v>
      </c>
      <c r="LH49" s="12" t="s">
        <v>34</v>
      </c>
      <c r="LI49" s="12" t="s">
        <v>619</v>
      </c>
      <c r="LJ49" s="12" t="s">
        <v>34</v>
      </c>
      <c r="LK49" s="12" t="s">
        <v>34</v>
      </c>
      <c r="LL49" s="13" t="s">
        <v>34</v>
      </c>
      <c r="LM49" s="13" t="s">
        <v>34</v>
      </c>
      <c r="LN49" s="13" t="s">
        <v>619</v>
      </c>
      <c r="LO49" s="13" t="s">
        <v>34</v>
      </c>
      <c r="LP49" s="90" t="s">
        <v>619</v>
      </c>
      <c r="LQ49" s="13" t="s">
        <v>34</v>
      </c>
      <c r="LR49" s="13" t="s">
        <v>34</v>
      </c>
      <c r="LS49" s="13"/>
      <c r="LT49" s="13" t="s">
        <v>34</v>
      </c>
      <c r="LU49" s="13" t="s">
        <v>619</v>
      </c>
      <c r="LV49" s="13" t="s">
        <v>34</v>
      </c>
      <c r="LW49" s="13" t="s">
        <v>34</v>
      </c>
      <c r="LX49" s="13" t="s">
        <v>34</v>
      </c>
      <c r="LY49" s="13" t="s">
        <v>34</v>
      </c>
      <c r="LZ49" s="13" t="s">
        <v>619</v>
      </c>
      <c r="MA49" s="13" t="s">
        <v>619</v>
      </c>
      <c r="MB49" s="13" t="s">
        <v>34</v>
      </c>
      <c r="MC49" s="13" t="s">
        <v>34</v>
      </c>
      <c r="MD49" s="13" t="s">
        <v>34</v>
      </c>
      <c r="ME49" s="13" t="s">
        <v>619</v>
      </c>
      <c r="MF49" s="13" t="s">
        <v>34</v>
      </c>
      <c r="MG49" s="13" t="s">
        <v>34</v>
      </c>
      <c r="MH49" s="13" t="s">
        <v>34</v>
      </c>
      <c r="MI49" s="13" t="s">
        <v>34</v>
      </c>
      <c r="MJ49" s="13" t="s">
        <v>34</v>
      </c>
      <c r="MK49" s="13" t="s">
        <v>34</v>
      </c>
      <c r="ML49" s="13" t="s">
        <v>34</v>
      </c>
      <c r="MM49" s="13" t="s">
        <v>34</v>
      </c>
      <c r="MN49" s="13" t="s">
        <v>34</v>
      </c>
      <c r="MO49" s="13" t="s">
        <v>619</v>
      </c>
      <c r="MP49" s="13" t="s">
        <v>34</v>
      </c>
      <c r="MQ49" s="13" t="s">
        <v>619</v>
      </c>
      <c r="MR49" s="13" t="s">
        <v>619</v>
      </c>
      <c r="MS49" s="13" t="s">
        <v>34</v>
      </c>
      <c r="MT49" s="13" t="s">
        <v>34</v>
      </c>
      <c r="MU49" s="13" t="s">
        <v>34</v>
      </c>
      <c r="MV49" s="13" t="s">
        <v>34</v>
      </c>
      <c r="MW49" s="13" t="s">
        <v>34</v>
      </c>
      <c r="MX49" s="13" t="s">
        <v>34</v>
      </c>
      <c r="MY49" s="28" t="s">
        <v>296</v>
      </c>
      <c r="MZ49" s="28" t="s">
        <v>296</v>
      </c>
      <c r="NA49" s="28" t="s">
        <v>296</v>
      </c>
      <c r="NB49" s="28" t="s">
        <v>296</v>
      </c>
      <c r="NC49" s="28" t="s">
        <v>296</v>
      </c>
      <c r="ND49" s="28" t="s">
        <v>296</v>
      </c>
      <c r="NE49" s="28" t="s">
        <v>296</v>
      </c>
      <c r="NF49" s="28" t="s">
        <v>296</v>
      </c>
      <c r="NG49" s="28" t="s">
        <v>297</v>
      </c>
      <c r="NH49" s="28" t="s">
        <v>297</v>
      </c>
      <c r="NI49" s="177" t="s">
        <v>296</v>
      </c>
      <c r="NJ49" s="177" t="s">
        <v>297</v>
      </c>
      <c r="NK49" s="177" t="s">
        <v>297</v>
      </c>
      <c r="NL49" s="177" t="s">
        <v>297</v>
      </c>
      <c r="NM49" s="177" t="s">
        <v>296</v>
      </c>
      <c r="NN49" s="177" t="s">
        <v>296</v>
      </c>
      <c r="NO49" s="177" t="s">
        <v>297</v>
      </c>
      <c r="NP49" s="177" t="s">
        <v>296</v>
      </c>
      <c r="NQ49" s="177" t="s">
        <v>296</v>
      </c>
      <c r="NR49" s="12" t="s">
        <v>34</v>
      </c>
      <c r="NS49" s="13" t="s">
        <v>34</v>
      </c>
    </row>
    <row r="50" spans="1:383" x14ac:dyDescent="0.25">
      <c r="A50" s="8" t="s">
        <v>140</v>
      </c>
      <c r="B50" s="9" t="s">
        <v>141</v>
      </c>
      <c r="C50" s="9">
        <v>76</v>
      </c>
      <c r="D50" s="9" t="s">
        <v>54</v>
      </c>
      <c r="E50" s="10">
        <v>53</v>
      </c>
      <c r="F50" s="10">
        <v>54</v>
      </c>
      <c r="G50" s="10">
        <v>53</v>
      </c>
      <c r="H50" s="10">
        <v>49</v>
      </c>
      <c r="I50" s="10">
        <v>44</v>
      </c>
      <c r="J50" s="11">
        <v>369</v>
      </c>
      <c r="K50" s="11">
        <v>328</v>
      </c>
      <c r="L50" s="11">
        <v>345</v>
      </c>
      <c r="M50" s="11">
        <v>296</v>
      </c>
      <c r="N50" s="11">
        <v>271</v>
      </c>
      <c r="O50" s="13">
        <v>2117</v>
      </c>
      <c r="P50" s="13">
        <v>2164</v>
      </c>
      <c r="Q50" s="13">
        <v>2154</v>
      </c>
      <c r="R50" s="13">
        <v>1903</v>
      </c>
      <c r="S50" s="13">
        <v>1764</v>
      </c>
      <c r="T50" s="12">
        <v>916</v>
      </c>
      <c r="U50" s="12">
        <v>877</v>
      </c>
      <c r="V50" s="12">
        <v>890</v>
      </c>
      <c r="W50" s="12">
        <v>754</v>
      </c>
      <c r="X50" s="12">
        <v>710</v>
      </c>
      <c r="Y50" s="12">
        <v>5.53</v>
      </c>
      <c r="Z50" s="12">
        <v>5.55</v>
      </c>
      <c r="AA50" s="12">
        <v>5.55</v>
      </c>
      <c r="AB50" s="13">
        <v>5.19</v>
      </c>
      <c r="AC50" s="13">
        <v>5.21</v>
      </c>
      <c r="AD50" s="13">
        <v>5.21</v>
      </c>
      <c r="AE50" s="35" t="s">
        <v>258</v>
      </c>
      <c r="AF50" s="35" t="s">
        <v>267</v>
      </c>
      <c r="AG50" s="35" t="s">
        <v>258</v>
      </c>
      <c r="AH50" s="38">
        <v>0.75</v>
      </c>
      <c r="AI50" s="38">
        <v>0.75</v>
      </c>
      <c r="AJ50" s="38">
        <v>0.7</v>
      </c>
      <c r="AK50" s="45" t="s">
        <v>34</v>
      </c>
      <c r="AL50" s="45" t="s">
        <v>34</v>
      </c>
      <c r="AM50" s="45" t="s">
        <v>34</v>
      </c>
      <c r="AN50" s="45" t="s">
        <v>34</v>
      </c>
      <c r="AO50" s="45" t="s">
        <v>34</v>
      </c>
      <c r="AP50" s="45" t="s">
        <v>34</v>
      </c>
      <c r="AQ50" s="53" t="s">
        <v>297</v>
      </c>
      <c r="AR50" s="56">
        <v>33</v>
      </c>
      <c r="AS50" s="57">
        <v>27</v>
      </c>
      <c r="AT50" s="56">
        <v>18</v>
      </c>
      <c r="AU50" s="57">
        <v>6042</v>
      </c>
      <c r="AV50" s="57">
        <v>4106</v>
      </c>
      <c r="AW50" s="57">
        <v>1043</v>
      </c>
      <c r="AX50" s="57">
        <v>1</v>
      </c>
      <c r="AY50" s="57">
        <v>1</v>
      </c>
      <c r="AZ50" s="57">
        <v>1</v>
      </c>
      <c r="BA50" s="57">
        <v>1326</v>
      </c>
      <c r="BB50" s="57">
        <v>2842</v>
      </c>
      <c r="BC50" s="57">
        <v>1905</v>
      </c>
      <c r="BD50" s="57">
        <v>1646</v>
      </c>
      <c r="BE50" s="57">
        <v>976</v>
      </c>
      <c r="BF50" s="57">
        <v>1100</v>
      </c>
      <c r="BG50" s="57">
        <v>116</v>
      </c>
      <c r="BH50" s="57">
        <v>465</v>
      </c>
      <c r="BI50" s="57">
        <v>379</v>
      </c>
      <c r="BJ50" s="57" t="s">
        <v>297</v>
      </c>
      <c r="BK50" s="57">
        <v>1</v>
      </c>
      <c r="BL50" s="57">
        <v>0</v>
      </c>
      <c r="BM50" s="57">
        <v>0</v>
      </c>
      <c r="BN50" s="57">
        <v>0</v>
      </c>
      <c r="BO50" s="57">
        <v>40</v>
      </c>
      <c r="BP50" s="57">
        <v>0</v>
      </c>
      <c r="BQ50" s="76">
        <v>84</v>
      </c>
      <c r="BR50" s="76">
        <v>83</v>
      </c>
      <c r="BS50">
        <v>81</v>
      </c>
      <c r="BT50">
        <v>81</v>
      </c>
      <c r="BU50">
        <v>81</v>
      </c>
      <c r="BV50">
        <v>4524</v>
      </c>
      <c r="BW50">
        <v>4325</v>
      </c>
      <c r="BX50">
        <v>4331</v>
      </c>
      <c r="BY50">
        <v>4280</v>
      </c>
      <c r="BZ50">
        <v>4139</v>
      </c>
      <c r="CA50">
        <v>57</v>
      </c>
      <c r="CB50">
        <v>54</v>
      </c>
      <c r="CC50">
        <v>52</v>
      </c>
      <c r="CD50">
        <v>48</v>
      </c>
      <c r="CE50">
        <v>43</v>
      </c>
      <c r="CF50">
        <v>3033</v>
      </c>
      <c r="CG50">
        <v>3041</v>
      </c>
      <c r="CH50">
        <v>3044</v>
      </c>
      <c r="CI50">
        <v>2657</v>
      </c>
      <c r="CJ50">
        <v>2474</v>
      </c>
      <c r="CK50" s="10">
        <v>38.5</v>
      </c>
      <c r="CL50" s="10">
        <v>38.6</v>
      </c>
      <c r="CM50" s="10">
        <v>38.6</v>
      </c>
      <c r="CN50" s="11">
        <v>16.760000000000002</v>
      </c>
      <c r="CO50" s="11">
        <v>16.760000000000002</v>
      </c>
      <c r="CP50" s="11">
        <v>16.25</v>
      </c>
      <c r="CQ50" s="13">
        <v>5</v>
      </c>
      <c r="CR50" s="13">
        <v>2</v>
      </c>
      <c r="CS50" s="13">
        <v>0</v>
      </c>
      <c r="CT50" s="10">
        <v>0</v>
      </c>
      <c r="CU50" s="10">
        <v>0</v>
      </c>
      <c r="CV50" s="10">
        <v>0</v>
      </c>
      <c r="CW50" s="10">
        <v>2</v>
      </c>
      <c r="CX50" s="10">
        <v>0</v>
      </c>
      <c r="CY50" s="10">
        <v>0</v>
      </c>
      <c r="CZ50" s="10">
        <v>0</v>
      </c>
      <c r="DA50" s="10">
        <v>4</v>
      </c>
      <c r="DB50" s="10">
        <v>0</v>
      </c>
      <c r="DC50" s="10">
        <v>0</v>
      </c>
      <c r="DD50" s="10">
        <v>0</v>
      </c>
      <c r="DE50" s="10">
        <v>0</v>
      </c>
      <c r="DF50" s="10">
        <v>0</v>
      </c>
      <c r="DG50" s="10">
        <v>0</v>
      </c>
      <c r="DH50" s="10">
        <v>0</v>
      </c>
      <c r="DI50" s="81">
        <v>0</v>
      </c>
      <c r="DJ50" s="81">
        <v>0</v>
      </c>
      <c r="DK50" s="81">
        <v>1</v>
      </c>
      <c r="DL50" s="81">
        <v>0</v>
      </c>
      <c r="DM50" s="81">
        <v>6</v>
      </c>
      <c r="DN50" s="12">
        <v>0</v>
      </c>
      <c r="DO50" s="12">
        <v>0</v>
      </c>
      <c r="DP50" s="12">
        <v>0</v>
      </c>
      <c r="DQ50" s="12">
        <v>0</v>
      </c>
      <c r="DR50" s="12">
        <v>0</v>
      </c>
      <c r="DS50" s="12">
        <v>0</v>
      </c>
      <c r="DT50" s="12">
        <v>0</v>
      </c>
      <c r="DU50" s="12">
        <v>0</v>
      </c>
      <c r="DV50" s="12">
        <v>0</v>
      </c>
      <c r="DW50" s="12">
        <v>0</v>
      </c>
      <c r="DX50" s="12">
        <v>0</v>
      </c>
      <c r="DY50" s="12">
        <v>0</v>
      </c>
      <c r="DZ50" s="12">
        <v>0</v>
      </c>
      <c r="EA50" s="12">
        <v>0</v>
      </c>
      <c r="EB50" s="12">
        <v>4</v>
      </c>
      <c r="EC50" s="12">
        <v>0</v>
      </c>
      <c r="ED50" s="12">
        <v>7</v>
      </c>
      <c r="EE50" s="12">
        <v>0</v>
      </c>
      <c r="EF50" s="12">
        <v>0</v>
      </c>
      <c r="EG50" s="12">
        <v>0</v>
      </c>
      <c r="EH50" s="12">
        <v>0</v>
      </c>
      <c r="EI50" s="12">
        <v>0</v>
      </c>
      <c r="EJ50" s="12">
        <v>4</v>
      </c>
      <c r="EK50" s="12">
        <v>0</v>
      </c>
      <c r="EL50" s="12">
        <v>1</v>
      </c>
      <c r="EM50" s="12">
        <v>0</v>
      </c>
      <c r="EN50" s="12">
        <v>0</v>
      </c>
      <c r="EO50" s="12">
        <v>0</v>
      </c>
      <c r="EP50" s="12">
        <v>0</v>
      </c>
      <c r="EQ50" s="12">
        <v>4</v>
      </c>
      <c r="ER50" s="12">
        <v>0</v>
      </c>
      <c r="ES50" s="13">
        <v>0</v>
      </c>
      <c r="ET50" s="13">
        <v>6</v>
      </c>
      <c r="EU50" s="13">
        <v>0</v>
      </c>
      <c r="EV50" s="10">
        <v>0</v>
      </c>
      <c r="EW50" s="10">
        <v>0</v>
      </c>
      <c r="EX50" s="10">
        <v>4</v>
      </c>
      <c r="EY50" s="10">
        <v>0</v>
      </c>
      <c r="EZ50" s="10">
        <v>0</v>
      </c>
      <c r="FA50" s="10">
        <v>0</v>
      </c>
      <c r="FB50" s="10">
        <v>0</v>
      </c>
      <c r="FC50" s="10">
        <v>1</v>
      </c>
      <c r="FD50" s="10">
        <v>0</v>
      </c>
      <c r="FE50" s="10">
        <v>0</v>
      </c>
      <c r="FF50" s="10">
        <v>0</v>
      </c>
      <c r="FG50" s="10">
        <v>0</v>
      </c>
      <c r="FH50" s="10">
        <v>0</v>
      </c>
      <c r="FI50" s="10">
        <v>0</v>
      </c>
      <c r="FJ50" s="10">
        <v>0</v>
      </c>
      <c r="FK50" s="81">
        <v>0</v>
      </c>
      <c r="FL50" s="81">
        <v>0</v>
      </c>
      <c r="FM50" s="81">
        <v>1</v>
      </c>
      <c r="FN50" s="81">
        <v>0</v>
      </c>
      <c r="FO50" s="81">
        <v>6</v>
      </c>
      <c r="FP50" s="12">
        <v>0</v>
      </c>
      <c r="FQ50" s="12">
        <v>0</v>
      </c>
      <c r="FR50" s="12">
        <v>0</v>
      </c>
      <c r="FS50" s="12">
        <v>0</v>
      </c>
      <c r="FT50" s="12">
        <v>0</v>
      </c>
      <c r="FU50" s="12">
        <v>0</v>
      </c>
      <c r="FV50" s="12">
        <v>0</v>
      </c>
      <c r="FW50" s="12">
        <v>0</v>
      </c>
      <c r="FX50" s="12">
        <v>4</v>
      </c>
      <c r="FY50" s="12">
        <v>0</v>
      </c>
      <c r="FZ50" s="12">
        <v>0</v>
      </c>
      <c r="GA50" s="12">
        <v>0</v>
      </c>
      <c r="GB50" s="12">
        <v>1</v>
      </c>
      <c r="GC50" s="12">
        <v>0</v>
      </c>
      <c r="GD50" s="12">
        <v>0</v>
      </c>
      <c r="GE50" s="12">
        <v>0</v>
      </c>
      <c r="GF50" s="12">
        <v>0</v>
      </c>
      <c r="GG50" s="12">
        <v>5</v>
      </c>
      <c r="GH50" s="12">
        <v>0</v>
      </c>
      <c r="GI50" s="12">
        <v>0</v>
      </c>
      <c r="GJ50" s="12">
        <v>0</v>
      </c>
      <c r="GK50" s="12">
        <v>0</v>
      </c>
      <c r="GL50" s="12">
        <v>0</v>
      </c>
      <c r="GM50" s="12">
        <v>0</v>
      </c>
      <c r="GN50" s="12">
        <v>0</v>
      </c>
      <c r="GO50" s="12">
        <v>0</v>
      </c>
      <c r="GP50" s="12">
        <v>0</v>
      </c>
      <c r="GQ50" s="12">
        <v>0</v>
      </c>
      <c r="GR50" s="12">
        <v>0</v>
      </c>
      <c r="GS50" s="12">
        <v>0</v>
      </c>
      <c r="GT50" s="12">
        <v>0</v>
      </c>
      <c r="GU50" s="13">
        <v>27</v>
      </c>
      <c r="GV50" s="13">
        <v>1</v>
      </c>
      <c r="GW50" s="13">
        <v>2</v>
      </c>
      <c r="GX50" s="13">
        <v>0</v>
      </c>
      <c r="GY50" s="10">
        <v>0</v>
      </c>
      <c r="GZ50" s="10">
        <v>0</v>
      </c>
      <c r="HA50" s="10">
        <v>11</v>
      </c>
      <c r="HB50" s="10">
        <v>0</v>
      </c>
      <c r="HC50" s="10">
        <v>1</v>
      </c>
      <c r="HD50" s="10">
        <v>0</v>
      </c>
      <c r="HE50" s="10">
        <v>0</v>
      </c>
      <c r="HF50" s="10">
        <v>1</v>
      </c>
      <c r="HG50" s="10">
        <v>2</v>
      </c>
      <c r="HH50" s="10">
        <v>0</v>
      </c>
      <c r="HI50" s="10">
        <v>0</v>
      </c>
      <c r="HJ50" s="10">
        <v>0</v>
      </c>
      <c r="HK50" s="10">
        <v>4</v>
      </c>
      <c r="HL50" s="10">
        <v>0</v>
      </c>
      <c r="HM50" s="10">
        <v>0</v>
      </c>
      <c r="HN50" s="81">
        <v>0</v>
      </c>
      <c r="HO50" s="81">
        <v>0</v>
      </c>
      <c r="HP50" s="81">
        <v>0</v>
      </c>
      <c r="HQ50" s="81">
        <v>0</v>
      </c>
      <c r="HR50" s="81">
        <v>0</v>
      </c>
      <c r="HS50" s="12">
        <v>0</v>
      </c>
      <c r="HT50" s="12">
        <v>0</v>
      </c>
      <c r="HU50" s="12">
        <v>0</v>
      </c>
      <c r="HV50" s="12">
        <v>0</v>
      </c>
      <c r="HW50" s="12">
        <v>0</v>
      </c>
      <c r="HX50" s="12">
        <v>0</v>
      </c>
      <c r="HY50" s="12">
        <v>0</v>
      </c>
      <c r="HZ50" s="12">
        <v>0</v>
      </c>
      <c r="IA50" s="12">
        <v>0</v>
      </c>
      <c r="IB50" s="12">
        <v>0</v>
      </c>
      <c r="IC50" s="12">
        <v>0</v>
      </c>
      <c r="ID50" s="12">
        <v>0</v>
      </c>
      <c r="IE50" s="12">
        <v>0</v>
      </c>
      <c r="IF50" s="12">
        <v>0</v>
      </c>
      <c r="IG50" s="12">
        <v>0</v>
      </c>
      <c r="IH50" s="12">
        <v>0</v>
      </c>
      <c r="II50" s="12">
        <v>1</v>
      </c>
      <c r="IJ50" s="12">
        <v>0</v>
      </c>
      <c r="IK50" s="12">
        <v>0</v>
      </c>
      <c r="IL50" s="12">
        <v>0</v>
      </c>
      <c r="IM50" s="12">
        <v>0</v>
      </c>
      <c r="IN50" s="12">
        <v>0</v>
      </c>
      <c r="IO50" s="12">
        <v>0</v>
      </c>
      <c r="IP50" s="12">
        <v>0</v>
      </c>
      <c r="IQ50" s="12">
        <v>0</v>
      </c>
      <c r="IR50" s="12">
        <v>2</v>
      </c>
      <c r="IS50" s="12">
        <v>0</v>
      </c>
      <c r="IT50" s="12">
        <v>0</v>
      </c>
      <c r="IU50" s="12">
        <v>1</v>
      </c>
      <c r="IV50" s="12">
        <v>0</v>
      </c>
      <c r="IW50" s="12">
        <v>0</v>
      </c>
      <c r="IX50" s="11">
        <v>9750</v>
      </c>
      <c r="IY50" s="11">
        <v>9750</v>
      </c>
      <c r="IZ50" s="11">
        <v>9750</v>
      </c>
      <c r="JA50" s="85">
        <v>0</v>
      </c>
      <c r="JB50" s="85">
        <v>0</v>
      </c>
      <c r="JC50" s="85">
        <v>0</v>
      </c>
      <c r="JD50" s="12">
        <v>3</v>
      </c>
      <c r="JE50" s="12">
        <v>3</v>
      </c>
      <c r="JF50" s="12">
        <v>3</v>
      </c>
      <c r="JG50" s="12">
        <v>3</v>
      </c>
      <c r="JH50" s="12">
        <v>3</v>
      </c>
      <c r="JI50" s="12">
        <v>3</v>
      </c>
      <c r="JJ50" s="13" t="s">
        <v>619</v>
      </c>
      <c r="JK50" s="13" t="s">
        <v>619</v>
      </c>
      <c r="JL50" s="13" t="s">
        <v>296</v>
      </c>
      <c r="JM50" s="89"/>
      <c r="JN50" s="89"/>
      <c r="JO50" s="89" t="s">
        <v>297</v>
      </c>
      <c r="JP50" s="89"/>
      <c r="JQ50" s="89"/>
      <c r="JR50" s="89" t="s">
        <v>296</v>
      </c>
      <c r="JS50" s="89" t="s">
        <v>620</v>
      </c>
      <c r="JT50" s="89" t="s">
        <v>619</v>
      </c>
      <c r="JU50" s="89" t="s">
        <v>297</v>
      </c>
      <c r="JV50" s="89"/>
      <c r="JW50" s="89"/>
      <c r="JX50" s="89" t="s">
        <v>297</v>
      </c>
      <c r="JY50" s="12" t="s">
        <v>34</v>
      </c>
      <c r="JZ50" s="12" t="s">
        <v>34</v>
      </c>
      <c r="KA50" s="12" t="s">
        <v>34</v>
      </c>
      <c r="KB50" s="12" t="s">
        <v>34</v>
      </c>
      <c r="KC50" s="12" t="s">
        <v>34</v>
      </c>
      <c r="KD50" s="12" t="s">
        <v>34</v>
      </c>
      <c r="KE50" s="12" t="s">
        <v>34</v>
      </c>
      <c r="KF50" s="12"/>
      <c r="KG50" s="12" t="s">
        <v>34</v>
      </c>
      <c r="KH50" s="12" t="s">
        <v>34</v>
      </c>
      <c r="KI50" s="12" t="s">
        <v>34</v>
      </c>
      <c r="KJ50" s="12" t="s">
        <v>34</v>
      </c>
      <c r="KK50" s="12" t="s">
        <v>34</v>
      </c>
      <c r="KL50" s="12" t="s">
        <v>34</v>
      </c>
      <c r="KM50" s="12" t="s">
        <v>34</v>
      </c>
      <c r="KN50" s="12" t="s">
        <v>34</v>
      </c>
      <c r="KO50" s="12" t="s">
        <v>34</v>
      </c>
      <c r="KP50" s="12" t="s">
        <v>34</v>
      </c>
      <c r="KQ50" s="12" t="s">
        <v>34</v>
      </c>
      <c r="KR50" s="12" t="s">
        <v>34</v>
      </c>
      <c r="KS50" s="12" t="s">
        <v>34</v>
      </c>
      <c r="KT50" s="12" t="s">
        <v>34</v>
      </c>
      <c r="KU50" s="12" t="s">
        <v>34</v>
      </c>
      <c r="KV50" s="12" t="s">
        <v>34</v>
      </c>
      <c r="KW50" s="12" t="s">
        <v>34</v>
      </c>
      <c r="KX50" s="12" t="s">
        <v>34</v>
      </c>
      <c r="KY50" s="12" t="s">
        <v>34</v>
      </c>
      <c r="KZ50" s="12" t="s">
        <v>34</v>
      </c>
      <c r="LA50" s="12" t="s">
        <v>34</v>
      </c>
      <c r="LB50" s="12" t="s">
        <v>34</v>
      </c>
      <c r="LC50" s="12" t="s">
        <v>34</v>
      </c>
      <c r="LD50" s="12" t="s">
        <v>34</v>
      </c>
      <c r="LE50" s="12" t="s">
        <v>34</v>
      </c>
      <c r="LF50" s="12" t="s">
        <v>34</v>
      </c>
      <c r="LG50" s="12" t="s">
        <v>34</v>
      </c>
      <c r="LH50" s="12" t="s">
        <v>34</v>
      </c>
      <c r="LI50" s="12" t="s">
        <v>34</v>
      </c>
      <c r="LJ50" s="12" t="s">
        <v>34</v>
      </c>
      <c r="LK50" s="12" t="s">
        <v>34</v>
      </c>
      <c r="LL50" s="13" t="s">
        <v>34</v>
      </c>
      <c r="LM50" s="13" t="s">
        <v>34</v>
      </c>
      <c r="LN50" s="13" t="s">
        <v>34</v>
      </c>
      <c r="LO50" s="13" t="s">
        <v>34</v>
      </c>
      <c r="LP50" s="90" t="s">
        <v>34</v>
      </c>
      <c r="LQ50" s="13" t="s">
        <v>34</v>
      </c>
      <c r="LR50" s="13" t="s">
        <v>34</v>
      </c>
      <c r="LS50" s="13"/>
      <c r="LT50" s="13" t="s">
        <v>34</v>
      </c>
      <c r="LU50" s="13" t="s">
        <v>34</v>
      </c>
      <c r="LV50" s="13" t="s">
        <v>34</v>
      </c>
      <c r="LW50" s="13" t="s">
        <v>34</v>
      </c>
      <c r="LX50" s="13" t="s">
        <v>34</v>
      </c>
      <c r="LY50" s="13" t="s">
        <v>34</v>
      </c>
      <c r="LZ50" s="13" t="s">
        <v>34</v>
      </c>
      <c r="MA50" s="13" t="s">
        <v>34</v>
      </c>
      <c r="MB50" s="13" t="s">
        <v>34</v>
      </c>
      <c r="MC50" s="13" t="s">
        <v>34</v>
      </c>
      <c r="MD50" s="13" t="s">
        <v>34</v>
      </c>
      <c r="ME50" s="13" t="s">
        <v>34</v>
      </c>
      <c r="MF50" s="13" t="s">
        <v>34</v>
      </c>
      <c r="MG50" s="13" t="s">
        <v>34</v>
      </c>
      <c r="MH50" s="13" t="s">
        <v>34</v>
      </c>
      <c r="MI50" s="13" t="s">
        <v>34</v>
      </c>
      <c r="MJ50" s="13" t="s">
        <v>34</v>
      </c>
      <c r="MK50" s="13" t="s">
        <v>34</v>
      </c>
      <c r="ML50" s="13" t="s">
        <v>619</v>
      </c>
      <c r="MM50" s="13" t="s">
        <v>34</v>
      </c>
      <c r="MN50" s="13" t="s">
        <v>34</v>
      </c>
      <c r="MO50" s="13" t="s">
        <v>619</v>
      </c>
      <c r="MP50" s="13" t="s">
        <v>34</v>
      </c>
      <c r="MQ50" s="13" t="s">
        <v>619</v>
      </c>
      <c r="MR50" s="13" t="s">
        <v>34</v>
      </c>
      <c r="MS50" s="13" t="s">
        <v>34</v>
      </c>
      <c r="MT50" s="13" t="s">
        <v>34</v>
      </c>
      <c r="MU50" s="13" t="s">
        <v>34</v>
      </c>
      <c r="MV50" s="13" t="s">
        <v>619</v>
      </c>
      <c r="MW50" s="13" t="s">
        <v>34</v>
      </c>
      <c r="MX50" s="13" t="s">
        <v>34</v>
      </c>
      <c r="MY50" s="28" t="s">
        <v>296</v>
      </c>
      <c r="MZ50" s="28" t="s">
        <v>297</v>
      </c>
      <c r="NA50" s="28" t="s">
        <v>296</v>
      </c>
      <c r="NB50" s="28" t="s">
        <v>296</v>
      </c>
      <c r="NC50" s="28" t="s">
        <v>296</v>
      </c>
      <c r="ND50" s="28" t="s">
        <v>297</v>
      </c>
      <c r="NE50" s="28" t="s">
        <v>297</v>
      </c>
      <c r="NF50" s="28" t="s">
        <v>297</v>
      </c>
      <c r="NG50" s="28" t="s">
        <v>297</v>
      </c>
      <c r="NH50" s="28" t="s">
        <v>297</v>
      </c>
      <c r="NI50" s="177" t="s">
        <v>296</v>
      </c>
      <c r="NJ50" s="177" t="s">
        <v>297</v>
      </c>
      <c r="NK50" s="177" t="s">
        <v>297</v>
      </c>
      <c r="NL50" s="177" t="s">
        <v>297</v>
      </c>
      <c r="NM50" s="177" t="s">
        <v>296</v>
      </c>
      <c r="NN50" s="177" t="s">
        <v>296</v>
      </c>
      <c r="NO50" s="177" t="s">
        <v>296</v>
      </c>
      <c r="NP50" s="177" t="s">
        <v>296</v>
      </c>
      <c r="NQ50" s="177" t="s">
        <v>297</v>
      </c>
      <c r="NR50" s="12" t="s">
        <v>34</v>
      </c>
      <c r="NS50" s="13" t="s">
        <v>34</v>
      </c>
    </row>
    <row r="51" spans="1:383" x14ac:dyDescent="0.25">
      <c r="A51" s="8" t="s">
        <v>142</v>
      </c>
      <c r="B51" s="9" t="s">
        <v>143</v>
      </c>
      <c r="C51" s="9">
        <v>52</v>
      </c>
      <c r="D51" s="9" t="s">
        <v>133</v>
      </c>
      <c r="E51" s="10">
        <v>183</v>
      </c>
      <c r="F51" s="10">
        <v>162</v>
      </c>
      <c r="G51" s="10">
        <v>157</v>
      </c>
      <c r="H51" s="10">
        <v>140</v>
      </c>
      <c r="I51" s="10">
        <v>124</v>
      </c>
      <c r="J51" s="11">
        <v>454</v>
      </c>
      <c r="K51" s="11">
        <v>297</v>
      </c>
      <c r="L51" s="11">
        <v>371</v>
      </c>
      <c r="M51" s="11">
        <v>329</v>
      </c>
      <c r="N51" s="11">
        <v>181</v>
      </c>
      <c r="O51" s="13">
        <v>3692</v>
      </c>
      <c r="P51" s="13">
        <v>1721</v>
      </c>
      <c r="Q51" s="13">
        <v>3280</v>
      </c>
      <c r="R51" s="13">
        <v>2855</v>
      </c>
      <c r="S51" s="13">
        <v>1911</v>
      </c>
      <c r="T51" s="12">
        <v>158</v>
      </c>
      <c r="U51" s="12">
        <v>60</v>
      </c>
      <c r="V51" s="12">
        <v>287</v>
      </c>
      <c r="W51" s="12">
        <v>256</v>
      </c>
      <c r="X51" s="12">
        <v>262</v>
      </c>
      <c r="Y51" s="12">
        <v>5.3</v>
      </c>
      <c r="Z51" s="12">
        <v>5.35</v>
      </c>
      <c r="AA51" s="12">
        <v>5.85</v>
      </c>
      <c r="AB51" s="13">
        <v>4.3</v>
      </c>
      <c r="AC51" s="13">
        <v>4.3499999999999996</v>
      </c>
      <c r="AD51" s="13">
        <v>5.35</v>
      </c>
      <c r="AE51" s="35" t="s">
        <v>259</v>
      </c>
      <c r="AF51" s="35" t="s">
        <v>259</v>
      </c>
      <c r="AG51" s="35" t="s">
        <v>259</v>
      </c>
      <c r="AH51" s="38">
        <v>1</v>
      </c>
      <c r="AI51" s="38">
        <v>1</v>
      </c>
      <c r="AJ51" s="38">
        <v>0.5</v>
      </c>
      <c r="AK51" s="45" t="s">
        <v>288</v>
      </c>
      <c r="AL51" s="45" t="s">
        <v>34</v>
      </c>
      <c r="AM51" s="45" t="s">
        <v>34</v>
      </c>
      <c r="AN51" s="45" t="s">
        <v>293</v>
      </c>
      <c r="AO51" s="45" t="s">
        <v>34</v>
      </c>
      <c r="AP51" s="45" t="s">
        <v>34</v>
      </c>
      <c r="AQ51" s="53" t="s">
        <v>296</v>
      </c>
      <c r="AR51" s="56">
        <v>58</v>
      </c>
      <c r="AS51" s="57">
        <v>46</v>
      </c>
      <c r="AT51" s="56">
        <v>33</v>
      </c>
      <c r="AU51" s="57">
        <v>7598</v>
      </c>
      <c r="AV51" s="57">
        <v>3745</v>
      </c>
      <c r="AW51" s="57">
        <v>2593</v>
      </c>
      <c r="AX51" s="57">
        <v>35</v>
      </c>
      <c r="AY51" s="57">
        <v>31</v>
      </c>
      <c r="AZ51" s="57">
        <v>17</v>
      </c>
      <c r="BA51" s="57">
        <v>701</v>
      </c>
      <c r="BB51" s="57">
        <v>3144</v>
      </c>
      <c r="BC51" s="57">
        <v>5482</v>
      </c>
      <c r="BD51" s="57">
        <v>333</v>
      </c>
      <c r="BE51" s="57">
        <v>237</v>
      </c>
      <c r="BF51" s="57">
        <v>284</v>
      </c>
      <c r="BG51" s="57">
        <v>638</v>
      </c>
      <c r="BH51" s="57">
        <v>389</v>
      </c>
      <c r="BI51" s="57">
        <v>180</v>
      </c>
      <c r="BJ51" s="57" t="s">
        <v>296</v>
      </c>
      <c r="BK51" s="57">
        <v>11</v>
      </c>
      <c r="BL51" s="57">
        <v>3</v>
      </c>
      <c r="BM51" s="57">
        <v>0</v>
      </c>
      <c r="BN51" s="57">
        <v>191</v>
      </c>
      <c r="BO51" s="57">
        <v>2619</v>
      </c>
      <c r="BP51" s="57">
        <v>0</v>
      </c>
      <c r="BQ51" s="76">
        <v>435</v>
      </c>
      <c r="BR51" s="76">
        <v>431</v>
      </c>
      <c r="BS51">
        <v>426</v>
      </c>
      <c r="BT51">
        <v>426</v>
      </c>
      <c r="BU51">
        <v>427</v>
      </c>
      <c r="BV51">
        <v>53626</v>
      </c>
      <c r="BW51">
        <v>53092</v>
      </c>
      <c r="BX51">
        <v>52618</v>
      </c>
      <c r="BY51">
        <v>51882</v>
      </c>
      <c r="BZ51">
        <v>50860</v>
      </c>
      <c r="CA51">
        <v>183</v>
      </c>
      <c r="CB51">
        <v>162</v>
      </c>
      <c r="CC51">
        <v>152</v>
      </c>
      <c r="CD51">
        <v>139</v>
      </c>
      <c r="CE51">
        <v>123</v>
      </c>
      <c r="CF51">
        <v>3850</v>
      </c>
      <c r="CG51">
        <v>1781</v>
      </c>
      <c r="CH51">
        <v>3567</v>
      </c>
      <c r="CI51">
        <v>3111</v>
      </c>
      <c r="CJ51">
        <v>2173</v>
      </c>
      <c r="CK51" s="10">
        <v>48.05</v>
      </c>
      <c r="CL51" s="10">
        <v>48.34</v>
      </c>
      <c r="CM51" s="10">
        <v>49.39</v>
      </c>
      <c r="CN51" s="11">
        <v>16.600000000000001</v>
      </c>
      <c r="CO51" s="11">
        <v>16.649999999999999</v>
      </c>
      <c r="CP51" s="11">
        <v>17.649999999999999</v>
      </c>
      <c r="CQ51" s="13">
        <v>5</v>
      </c>
      <c r="CR51" s="13">
        <v>2</v>
      </c>
      <c r="CS51" s="13">
        <v>5</v>
      </c>
      <c r="CT51" s="10">
        <v>0</v>
      </c>
      <c r="CU51" s="10">
        <v>0</v>
      </c>
      <c r="CV51" s="10">
        <v>3</v>
      </c>
      <c r="CW51" s="10">
        <v>9</v>
      </c>
      <c r="CX51" s="10">
        <v>2</v>
      </c>
      <c r="CY51" s="10">
        <v>0</v>
      </c>
      <c r="CZ51" s="10">
        <v>0</v>
      </c>
      <c r="DA51" s="10">
        <v>0</v>
      </c>
      <c r="DB51" s="10">
        <v>1</v>
      </c>
      <c r="DC51" s="10">
        <v>0</v>
      </c>
      <c r="DD51" s="10">
        <v>0</v>
      </c>
      <c r="DE51" s="10">
        <v>0</v>
      </c>
      <c r="DF51" s="10">
        <v>0</v>
      </c>
      <c r="DG51" s="10">
        <v>0</v>
      </c>
      <c r="DH51" s="10">
        <v>0</v>
      </c>
      <c r="DI51" s="81">
        <v>2</v>
      </c>
      <c r="DJ51" s="81">
        <v>3</v>
      </c>
      <c r="DK51" s="81">
        <v>0</v>
      </c>
      <c r="DL51" s="81">
        <v>0</v>
      </c>
      <c r="DM51" s="81">
        <v>2</v>
      </c>
      <c r="DN51" s="12">
        <v>2</v>
      </c>
      <c r="DO51" s="12">
        <v>0</v>
      </c>
      <c r="DP51" s="12">
        <v>2</v>
      </c>
      <c r="DQ51" s="12">
        <v>0</v>
      </c>
      <c r="DR51" s="12">
        <v>0</v>
      </c>
      <c r="DS51" s="12">
        <v>0</v>
      </c>
      <c r="DT51" s="12">
        <v>0</v>
      </c>
      <c r="DU51" s="12">
        <v>0</v>
      </c>
      <c r="DV51" s="12">
        <v>2</v>
      </c>
      <c r="DW51" s="12">
        <v>2</v>
      </c>
      <c r="DX51" s="12">
        <v>0</v>
      </c>
      <c r="DY51" s="12">
        <v>2</v>
      </c>
      <c r="DZ51" s="12">
        <v>4</v>
      </c>
      <c r="EA51" s="12">
        <v>0</v>
      </c>
      <c r="EB51" s="12">
        <v>13</v>
      </c>
      <c r="EC51" s="12">
        <v>0</v>
      </c>
      <c r="ED51" s="12">
        <v>10</v>
      </c>
      <c r="EE51" s="12">
        <v>1</v>
      </c>
      <c r="EF51" s="12">
        <v>2</v>
      </c>
      <c r="EG51" s="12">
        <v>0</v>
      </c>
      <c r="EH51" s="12">
        <v>0</v>
      </c>
      <c r="EI51" s="12">
        <v>0</v>
      </c>
      <c r="EJ51" s="12">
        <v>2</v>
      </c>
      <c r="EK51" s="12">
        <v>0</v>
      </c>
      <c r="EL51" s="12">
        <v>1</v>
      </c>
      <c r="EM51" s="12">
        <v>0</v>
      </c>
      <c r="EN51" s="12">
        <v>1</v>
      </c>
      <c r="EO51" s="12">
        <v>2</v>
      </c>
      <c r="EP51" s="12">
        <v>1</v>
      </c>
      <c r="EQ51" s="12">
        <v>0</v>
      </c>
      <c r="ER51" s="12">
        <v>2</v>
      </c>
      <c r="ES51" s="13">
        <v>0</v>
      </c>
      <c r="ET51" s="13">
        <v>0</v>
      </c>
      <c r="EU51" s="13">
        <v>4</v>
      </c>
      <c r="EV51" s="10">
        <v>0</v>
      </c>
      <c r="EW51" s="10">
        <v>0</v>
      </c>
      <c r="EX51" s="10">
        <v>1</v>
      </c>
      <c r="EY51" s="10">
        <v>3</v>
      </c>
      <c r="EZ51" s="10">
        <v>0</v>
      </c>
      <c r="FA51" s="10">
        <v>0</v>
      </c>
      <c r="FB51" s="10">
        <v>0</v>
      </c>
      <c r="FC51" s="10">
        <v>0</v>
      </c>
      <c r="FD51" s="10">
        <v>0</v>
      </c>
      <c r="FE51" s="10">
        <v>0</v>
      </c>
      <c r="FF51" s="10">
        <v>0</v>
      </c>
      <c r="FG51" s="10">
        <v>0</v>
      </c>
      <c r="FH51" s="10">
        <v>0</v>
      </c>
      <c r="FI51" s="10">
        <v>0</v>
      </c>
      <c r="FJ51" s="10">
        <v>0</v>
      </c>
      <c r="FK51" s="81">
        <v>0</v>
      </c>
      <c r="FL51" s="81">
        <v>4</v>
      </c>
      <c r="FM51" s="81">
        <v>0</v>
      </c>
      <c r="FN51" s="81">
        <v>0</v>
      </c>
      <c r="FO51" s="81">
        <v>0</v>
      </c>
      <c r="FP51" s="12">
        <v>1</v>
      </c>
      <c r="FQ51" s="12">
        <v>0</v>
      </c>
      <c r="FR51" s="12">
        <v>2</v>
      </c>
      <c r="FS51" s="12">
        <v>0</v>
      </c>
      <c r="FT51" s="12">
        <v>0</v>
      </c>
      <c r="FU51" s="12">
        <v>0</v>
      </c>
      <c r="FV51" s="12">
        <v>0</v>
      </c>
      <c r="FW51" s="12">
        <v>0</v>
      </c>
      <c r="FX51" s="12">
        <v>3</v>
      </c>
      <c r="FY51" s="12">
        <v>1</v>
      </c>
      <c r="FZ51" s="12">
        <v>0</v>
      </c>
      <c r="GA51" s="12">
        <v>1</v>
      </c>
      <c r="GB51" s="12">
        <v>1</v>
      </c>
      <c r="GC51" s="12">
        <v>0</v>
      </c>
      <c r="GD51" s="12">
        <v>5</v>
      </c>
      <c r="GE51" s="12">
        <v>0</v>
      </c>
      <c r="GF51" s="12">
        <v>18</v>
      </c>
      <c r="GG51" s="12">
        <v>0</v>
      </c>
      <c r="GH51" s="12">
        <v>3</v>
      </c>
      <c r="GI51" s="12">
        <v>0</v>
      </c>
      <c r="GJ51" s="12">
        <v>0</v>
      </c>
      <c r="GK51" s="12">
        <v>0</v>
      </c>
      <c r="GL51" s="12">
        <v>1</v>
      </c>
      <c r="GM51" s="12">
        <v>0</v>
      </c>
      <c r="GN51" s="12">
        <v>0</v>
      </c>
      <c r="GO51" s="12">
        <v>0</v>
      </c>
      <c r="GP51" s="12">
        <v>0</v>
      </c>
      <c r="GQ51" s="12">
        <v>1</v>
      </c>
      <c r="GR51" s="12">
        <v>0</v>
      </c>
      <c r="GS51" s="12">
        <v>2</v>
      </c>
      <c r="GT51" s="12">
        <v>3</v>
      </c>
      <c r="GU51" s="13">
        <v>46</v>
      </c>
      <c r="GV51" s="13">
        <v>6</v>
      </c>
      <c r="GW51" s="13">
        <v>0</v>
      </c>
      <c r="GX51" s="13">
        <v>1</v>
      </c>
      <c r="GY51" s="10">
        <v>2</v>
      </c>
      <c r="GZ51" s="10">
        <v>0</v>
      </c>
      <c r="HA51" s="10">
        <v>10</v>
      </c>
      <c r="HB51" s="10">
        <v>5</v>
      </c>
      <c r="HC51" s="10">
        <v>0</v>
      </c>
      <c r="HD51" s="10">
        <v>0</v>
      </c>
      <c r="HE51" s="10">
        <v>0</v>
      </c>
      <c r="HF51" s="10">
        <v>0</v>
      </c>
      <c r="HG51" s="10">
        <v>0</v>
      </c>
      <c r="HH51" s="10">
        <v>0</v>
      </c>
      <c r="HI51" s="10">
        <v>0</v>
      </c>
      <c r="HJ51" s="10">
        <v>0</v>
      </c>
      <c r="HK51" s="10">
        <v>0</v>
      </c>
      <c r="HL51" s="10">
        <v>0</v>
      </c>
      <c r="HM51" s="10">
        <v>0</v>
      </c>
      <c r="HN51" s="81">
        <v>0</v>
      </c>
      <c r="HO51" s="81">
        <v>0</v>
      </c>
      <c r="HP51" s="81">
        <v>0</v>
      </c>
      <c r="HQ51" s="81">
        <v>0</v>
      </c>
      <c r="HR51" s="81">
        <v>0</v>
      </c>
      <c r="HS51" s="12">
        <v>0</v>
      </c>
      <c r="HT51" s="12">
        <v>0</v>
      </c>
      <c r="HU51" s="12">
        <v>0</v>
      </c>
      <c r="HV51" s="12">
        <v>0</v>
      </c>
      <c r="HW51" s="12">
        <v>0</v>
      </c>
      <c r="HX51" s="12">
        <v>0</v>
      </c>
      <c r="HY51" s="12">
        <v>0</v>
      </c>
      <c r="HZ51" s="12">
        <v>0</v>
      </c>
      <c r="IA51" s="12">
        <v>0</v>
      </c>
      <c r="IB51" s="12">
        <v>0</v>
      </c>
      <c r="IC51" s="12">
        <v>0</v>
      </c>
      <c r="ID51" s="12">
        <v>0</v>
      </c>
      <c r="IE51" s="12">
        <v>1</v>
      </c>
      <c r="IF51" s="12">
        <v>0</v>
      </c>
      <c r="IG51" s="12">
        <v>12</v>
      </c>
      <c r="IH51" s="12">
        <v>0</v>
      </c>
      <c r="II51" s="12">
        <v>15</v>
      </c>
      <c r="IJ51" s="12">
        <v>0</v>
      </c>
      <c r="IK51" s="12">
        <v>3</v>
      </c>
      <c r="IL51" s="12">
        <v>0</v>
      </c>
      <c r="IM51" s="12">
        <v>0</v>
      </c>
      <c r="IN51" s="12">
        <v>0</v>
      </c>
      <c r="IO51" s="12">
        <v>1</v>
      </c>
      <c r="IP51" s="12">
        <v>0</v>
      </c>
      <c r="IQ51" s="12">
        <v>0</v>
      </c>
      <c r="IR51" s="12">
        <v>1</v>
      </c>
      <c r="IS51" s="12">
        <v>0</v>
      </c>
      <c r="IT51" s="12">
        <v>0</v>
      </c>
      <c r="IU51" s="12">
        <v>0</v>
      </c>
      <c r="IV51" s="12">
        <v>2</v>
      </c>
      <c r="IW51" s="12">
        <v>0</v>
      </c>
      <c r="IX51" s="11">
        <v>1000</v>
      </c>
      <c r="IY51" s="11">
        <v>3000</v>
      </c>
      <c r="IZ51" s="11">
        <v>2000</v>
      </c>
      <c r="JA51" s="85" t="s">
        <v>602</v>
      </c>
      <c r="JB51" s="85" t="s">
        <v>602</v>
      </c>
      <c r="JC51" s="85" t="s">
        <v>361</v>
      </c>
      <c r="JD51" s="12">
        <v>15</v>
      </c>
      <c r="JE51" s="12">
        <v>0</v>
      </c>
      <c r="JF51" s="12">
        <v>15</v>
      </c>
      <c r="JG51" s="12">
        <v>0</v>
      </c>
      <c r="JH51" s="12">
        <v>15</v>
      </c>
      <c r="JI51" s="12">
        <v>0</v>
      </c>
      <c r="JJ51" s="13" t="s">
        <v>619</v>
      </c>
      <c r="JK51" s="13" t="s">
        <v>619</v>
      </c>
      <c r="JL51" s="13" t="s">
        <v>297</v>
      </c>
      <c r="JM51" s="89"/>
      <c r="JN51" s="89"/>
      <c r="JO51" s="89" t="s">
        <v>296</v>
      </c>
      <c r="JP51" s="89"/>
      <c r="JQ51" s="89"/>
      <c r="JR51" s="89" t="s">
        <v>296</v>
      </c>
      <c r="JS51" s="89" t="s">
        <v>620</v>
      </c>
      <c r="JT51" s="89" t="s">
        <v>619</v>
      </c>
      <c r="JU51" s="89" t="s">
        <v>297</v>
      </c>
      <c r="JV51" s="89"/>
      <c r="JW51" s="89"/>
      <c r="JX51" s="89" t="s">
        <v>297</v>
      </c>
      <c r="JY51" s="12" t="s">
        <v>619</v>
      </c>
      <c r="JZ51" s="12" t="s">
        <v>619</v>
      </c>
      <c r="KA51" s="12" t="s">
        <v>619</v>
      </c>
      <c r="KB51" s="12" t="s">
        <v>34</v>
      </c>
      <c r="KC51" s="12" t="s">
        <v>619</v>
      </c>
      <c r="KD51" s="12" t="s">
        <v>34</v>
      </c>
      <c r="KE51" s="12" t="s">
        <v>34</v>
      </c>
      <c r="KF51" s="12"/>
      <c r="KG51" s="12" t="s">
        <v>619</v>
      </c>
      <c r="KH51" s="12" t="s">
        <v>34</v>
      </c>
      <c r="KI51" s="12" t="s">
        <v>34</v>
      </c>
      <c r="KJ51" s="12" t="s">
        <v>34</v>
      </c>
      <c r="KK51" s="12" t="s">
        <v>34</v>
      </c>
      <c r="KL51" s="12" t="s">
        <v>34</v>
      </c>
      <c r="KM51" s="12" t="s">
        <v>619</v>
      </c>
      <c r="KN51" s="12" t="s">
        <v>619</v>
      </c>
      <c r="KO51" s="12" t="s">
        <v>619</v>
      </c>
      <c r="KP51" s="12" t="s">
        <v>34</v>
      </c>
      <c r="KQ51" s="12" t="s">
        <v>619</v>
      </c>
      <c r="KR51" s="12" t="s">
        <v>34</v>
      </c>
      <c r="KS51" s="12" t="s">
        <v>34</v>
      </c>
      <c r="KT51" s="12" t="s">
        <v>34</v>
      </c>
      <c r="KU51" s="12" t="s">
        <v>34</v>
      </c>
      <c r="KV51" s="12" t="s">
        <v>34</v>
      </c>
      <c r="KW51" s="12" t="s">
        <v>34</v>
      </c>
      <c r="KX51" s="12" t="s">
        <v>34</v>
      </c>
      <c r="KY51" s="12" t="s">
        <v>619</v>
      </c>
      <c r="KZ51" s="12" t="s">
        <v>619</v>
      </c>
      <c r="LA51" s="12" t="s">
        <v>34</v>
      </c>
      <c r="LB51" s="12" t="s">
        <v>619</v>
      </c>
      <c r="LC51" s="12" t="s">
        <v>619</v>
      </c>
      <c r="LD51" s="12" t="s">
        <v>619</v>
      </c>
      <c r="LE51" s="12" t="s">
        <v>619</v>
      </c>
      <c r="LF51" s="12" t="s">
        <v>34</v>
      </c>
      <c r="LG51" s="12" t="s">
        <v>34</v>
      </c>
      <c r="LH51" s="12" t="s">
        <v>34</v>
      </c>
      <c r="LI51" s="12" t="s">
        <v>34</v>
      </c>
      <c r="LJ51" s="12" t="s">
        <v>34</v>
      </c>
      <c r="LK51" s="12" t="s">
        <v>34</v>
      </c>
      <c r="LL51" s="13" t="s">
        <v>34</v>
      </c>
      <c r="LM51" s="13" t="s">
        <v>34</v>
      </c>
      <c r="LN51" s="13" t="s">
        <v>619</v>
      </c>
      <c r="LO51" s="13" t="s">
        <v>34</v>
      </c>
      <c r="LP51" s="90" t="s">
        <v>619</v>
      </c>
      <c r="LQ51" s="13" t="s">
        <v>34</v>
      </c>
      <c r="LR51" s="13" t="s">
        <v>34</v>
      </c>
      <c r="LS51" s="13"/>
      <c r="LT51" s="13" t="s">
        <v>34</v>
      </c>
      <c r="LU51" s="13" t="s">
        <v>34</v>
      </c>
      <c r="LV51" s="13" t="s">
        <v>34</v>
      </c>
      <c r="LW51" s="13" t="s">
        <v>34</v>
      </c>
      <c r="LX51" s="13" t="s">
        <v>34</v>
      </c>
      <c r="LY51" s="13" t="s">
        <v>34</v>
      </c>
      <c r="LZ51" s="13" t="s">
        <v>34</v>
      </c>
      <c r="MA51" s="13" t="s">
        <v>619</v>
      </c>
      <c r="MB51" s="13" t="s">
        <v>619</v>
      </c>
      <c r="MC51" s="13" t="s">
        <v>34</v>
      </c>
      <c r="MD51" s="13" t="s">
        <v>619</v>
      </c>
      <c r="ME51" s="13" t="s">
        <v>34</v>
      </c>
      <c r="MF51" s="13" t="s">
        <v>34</v>
      </c>
      <c r="MG51" s="13" t="s">
        <v>34</v>
      </c>
      <c r="MH51" s="13" t="s">
        <v>34</v>
      </c>
      <c r="MI51" s="13" t="s">
        <v>34</v>
      </c>
      <c r="MJ51" s="13" t="s">
        <v>34</v>
      </c>
      <c r="MK51" s="13" t="s">
        <v>34</v>
      </c>
      <c r="ML51" s="13" t="s">
        <v>34</v>
      </c>
      <c r="MM51" s="13" t="s">
        <v>34</v>
      </c>
      <c r="MN51" s="13" t="s">
        <v>34</v>
      </c>
      <c r="MO51" s="13" t="s">
        <v>619</v>
      </c>
      <c r="MP51" s="13" t="s">
        <v>34</v>
      </c>
      <c r="MQ51" s="13" t="s">
        <v>619</v>
      </c>
      <c r="MR51" s="13" t="s">
        <v>619</v>
      </c>
      <c r="MS51" s="13" t="s">
        <v>34</v>
      </c>
      <c r="MT51" s="13" t="s">
        <v>34</v>
      </c>
      <c r="MU51" s="13" t="s">
        <v>34</v>
      </c>
      <c r="MV51" s="13" t="s">
        <v>34</v>
      </c>
      <c r="MW51" s="13" t="s">
        <v>34</v>
      </c>
      <c r="MX51" s="13" t="s">
        <v>34</v>
      </c>
      <c r="MY51" s="28" t="s">
        <v>296</v>
      </c>
      <c r="MZ51" s="28" t="s">
        <v>296</v>
      </c>
      <c r="NA51" s="28" t="s">
        <v>296</v>
      </c>
      <c r="NB51" s="28" t="s">
        <v>297</v>
      </c>
      <c r="NC51" s="28" t="s">
        <v>297</v>
      </c>
      <c r="ND51" s="28" t="s">
        <v>296</v>
      </c>
      <c r="NE51" s="28" t="s">
        <v>297</v>
      </c>
      <c r="NF51" s="28" t="s">
        <v>297</v>
      </c>
      <c r="NG51" s="28" t="s">
        <v>297</v>
      </c>
      <c r="NH51" s="28" t="s">
        <v>297</v>
      </c>
      <c r="NI51" s="177" t="s">
        <v>296</v>
      </c>
      <c r="NJ51" s="177" t="s">
        <v>297</v>
      </c>
      <c r="NK51" s="177" t="s">
        <v>296</v>
      </c>
      <c r="NL51" s="177" t="s">
        <v>297</v>
      </c>
      <c r="NM51" s="177" t="s">
        <v>297</v>
      </c>
      <c r="NN51" s="177" t="s">
        <v>296</v>
      </c>
      <c r="NO51" s="177" t="s">
        <v>296</v>
      </c>
      <c r="NP51" s="177" t="s">
        <v>297</v>
      </c>
      <c r="NQ51" s="177" t="s">
        <v>297</v>
      </c>
      <c r="NR51" s="12" t="s">
        <v>34</v>
      </c>
      <c r="NS51" s="13" t="s">
        <v>34</v>
      </c>
    </row>
    <row r="52" spans="1:383" x14ac:dyDescent="0.25">
      <c r="A52" s="8" t="s">
        <v>144</v>
      </c>
      <c r="B52" s="9" t="s">
        <v>145</v>
      </c>
      <c r="C52" s="9">
        <v>28</v>
      </c>
      <c r="D52" s="9" t="s">
        <v>65</v>
      </c>
      <c r="E52" s="10">
        <v>20</v>
      </c>
      <c r="F52" s="10">
        <v>19</v>
      </c>
      <c r="G52" s="10">
        <v>21</v>
      </c>
      <c r="H52" s="10">
        <v>22</v>
      </c>
      <c r="I52" s="10">
        <v>14</v>
      </c>
      <c r="J52" s="11">
        <v>91</v>
      </c>
      <c r="K52" s="11">
        <v>87</v>
      </c>
      <c r="L52" s="11">
        <v>101</v>
      </c>
      <c r="M52" s="11">
        <v>100</v>
      </c>
      <c r="N52" s="11">
        <v>48</v>
      </c>
      <c r="O52" s="13">
        <v>891</v>
      </c>
      <c r="P52" s="13">
        <v>956</v>
      </c>
      <c r="Q52" s="13">
        <v>1176</v>
      </c>
      <c r="R52" s="13">
        <v>965</v>
      </c>
      <c r="S52" s="13">
        <v>487</v>
      </c>
      <c r="T52" s="12">
        <v>52</v>
      </c>
      <c r="U52" s="12">
        <v>75</v>
      </c>
      <c r="V52" s="12">
        <v>69</v>
      </c>
      <c r="W52" s="12">
        <v>77</v>
      </c>
      <c r="X52" s="12">
        <v>65</v>
      </c>
      <c r="Y52" s="12">
        <v>6</v>
      </c>
      <c r="Z52" s="12">
        <v>6</v>
      </c>
      <c r="AA52" s="12">
        <v>6</v>
      </c>
      <c r="AB52" s="13">
        <v>6</v>
      </c>
      <c r="AC52" s="13">
        <v>6</v>
      </c>
      <c r="AD52" s="13">
        <v>6</v>
      </c>
      <c r="AE52" s="35" t="s">
        <v>259</v>
      </c>
      <c r="AF52" s="35" t="s">
        <v>259</v>
      </c>
      <c r="AG52" s="35" t="s">
        <v>259</v>
      </c>
      <c r="AH52" s="38">
        <v>0.5</v>
      </c>
      <c r="AI52" s="38">
        <v>0.5</v>
      </c>
      <c r="AJ52" s="38">
        <v>0.5</v>
      </c>
      <c r="AK52" s="45" t="s">
        <v>34</v>
      </c>
      <c r="AL52" s="45" t="s">
        <v>34</v>
      </c>
      <c r="AM52" s="45" t="s">
        <v>34</v>
      </c>
      <c r="AN52" s="45" t="s">
        <v>34</v>
      </c>
      <c r="AO52" s="45" t="s">
        <v>34</v>
      </c>
      <c r="AP52" s="45" t="s">
        <v>292</v>
      </c>
      <c r="AQ52" s="53" t="s">
        <v>296</v>
      </c>
      <c r="AR52" s="56">
        <v>240</v>
      </c>
      <c r="AS52" s="57">
        <v>98</v>
      </c>
      <c r="AT52" s="56">
        <v>39</v>
      </c>
      <c r="AU52" s="57">
        <v>8484</v>
      </c>
      <c r="AV52" s="57">
        <v>3577</v>
      </c>
      <c r="AW52" s="57">
        <v>1129</v>
      </c>
      <c r="AX52" s="57">
        <v>241</v>
      </c>
      <c r="AY52" s="57">
        <v>39</v>
      </c>
      <c r="AZ52" s="57">
        <v>24</v>
      </c>
      <c r="BA52" s="57">
        <v>7354</v>
      </c>
      <c r="BB52" s="57">
        <v>9251</v>
      </c>
      <c r="BC52" s="57">
        <v>20503</v>
      </c>
      <c r="BD52" s="57">
        <v>2016</v>
      </c>
      <c r="BE52" s="57">
        <v>2505</v>
      </c>
      <c r="BF52" s="57">
        <v>4775</v>
      </c>
      <c r="BG52" s="57">
        <v>0</v>
      </c>
      <c r="BH52" s="57">
        <v>308</v>
      </c>
      <c r="BI52" s="57">
        <v>1642</v>
      </c>
      <c r="BJ52" s="57" t="s">
        <v>296</v>
      </c>
      <c r="BK52" s="57">
        <v>22</v>
      </c>
      <c r="BL52" s="57">
        <v>0</v>
      </c>
      <c r="BM52" s="57">
        <v>0</v>
      </c>
      <c r="BN52" s="57">
        <v>156</v>
      </c>
      <c r="BO52" s="57">
        <v>500</v>
      </c>
      <c r="BP52" s="57">
        <v>0</v>
      </c>
      <c r="BQ52" s="76">
        <v>340</v>
      </c>
      <c r="BR52" s="76">
        <v>334</v>
      </c>
      <c r="BS52">
        <v>321</v>
      </c>
      <c r="BT52">
        <v>321</v>
      </c>
      <c r="BU52">
        <v>321</v>
      </c>
      <c r="BV52">
        <v>36376</v>
      </c>
      <c r="BW52">
        <v>35883</v>
      </c>
      <c r="BX52">
        <v>35684</v>
      </c>
      <c r="BY52">
        <v>34848</v>
      </c>
      <c r="BZ52">
        <v>34059</v>
      </c>
      <c r="CA52">
        <v>26</v>
      </c>
      <c r="CB52">
        <v>29</v>
      </c>
      <c r="CC52">
        <v>32</v>
      </c>
      <c r="CD52">
        <v>37</v>
      </c>
      <c r="CE52">
        <v>25</v>
      </c>
      <c r="CF52">
        <v>943</v>
      </c>
      <c r="CG52">
        <v>1031</v>
      </c>
      <c r="CH52">
        <v>1245</v>
      </c>
      <c r="CI52">
        <v>1042</v>
      </c>
      <c r="CJ52">
        <v>552</v>
      </c>
      <c r="CK52" s="10">
        <v>37.299999999999997</v>
      </c>
      <c r="CL52" s="10">
        <v>37.299999999999997</v>
      </c>
      <c r="CM52" s="10">
        <v>37.299999999999997</v>
      </c>
      <c r="CN52" s="11">
        <v>21</v>
      </c>
      <c r="CO52" s="11">
        <v>21</v>
      </c>
      <c r="CP52" s="11">
        <v>21</v>
      </c>
      <c r="CQ52" s="13">
        <v>4</v>
      </c>
      <c r="CR52" s="13">
        <v>3</v>
      </c>
      <c r="CS52" s="13">
        <v>0</v>
      </c>
      <c r="CT52" s="10">
        <v>0</v>
      </c>
      <c r="CU52" s="10">
        <v>0</v>
      </c>
      <c r="CV52" s="10">
        <v>5</v>
      </c>
      <c r="CW52" s="10">
        <v>1</v>
      </c>
      <c r="CX52" s="10">
        <v>3</v>
      </c>
      <c r="CY52" s="10">
        <v>0</v>
      </c>
      <c r="CZ52" s="10">
        <v>0</v>
      </c>
      <c r="DA52" s="10">
        <v>0</v>
      </c>
      <c r="DB52" s="10">
        <v>11</v>
      </c>
      <c r="DC52" s="10">
        <v>0</v>
      </c>
      <c r="DD52" s="10">
        <v>0</v>
      </c>
      <c r="DE52" s="10">
        <v>0</v>
      </c>
      <c r="DF52" s="10">
        <v>0</v>
      </c>
      <c r="DG52" s="10">
        <v>0</v>
      </c>
      <c r="DH52" s="10">
        <v>10</v>
      </c>
      <c r="DI52" s="81">
        <v>0</v>
      </c>
      <c r="DJ52" s="81">
        <v>1</v>
      </c>
      <c r="DK52" s="81">
        <v>0</v>
      </c>
      <c r="DL52" s="81">
        <v>0</v>
      </c>
      <c r="DM52" s="81">
        <v>0</v>
      </c>
      <c r="DN52" s="12">
        <v>0</v>
      </c>
      <c r="DO52" s="12">
        <v>0</v>
      </c>
      <c r="DP52" s="12">
        <v>2</v>
      </c>
      <c r="DQ52" s="12">
        <v>0</v>
      </c>
      <c r="DR52" s="12">
        <v>0</v>
      </c>
      <c r="DS52" s="12">
        <v>0</v>
      </c>
      <c r="DT52" s="12">
        <v>0</v>
      </c>
      <c r="DU52" s="12">
        <v>0</v>
      </c>
      <c r="DV52" s="12">
        <v>0</v>
      </c>
      <c r="DW52" s="12">
        <v>4</v>
      </c>
      <c r="DX52" s="12">
        <v>1</v>
      </c>
      <c r="DY52" s="12">
        <v>1</v>
      </c>
      <c r="DZ52" s="12">
        <v>2</v>
      </c>
      <c r="EA52" s="12">
        <v>0</v>
      </c>
      <c r="EB52" s="12">
        <v>0</v>
      </c>
      <c r="EC52" s="12">
        <v>0</v>
      </c>
      <c r="ED52" s="12">
        <v>1</v>
      </c>
      <c r="EE52" s="12">
        <v>2</v>
      </c>
      <c r="EF52" s="12">
        <v>1</v>
      </c>
      <c r="EG52" s="12">
        <v>0</v>
      </c>
      <c r="EH52" s="12">
        <v>0</v>
      </c>
      <c r="EI52" s="12">
        <v>0</v>
      </c>
      <c r="EJ52" s="12">
        <v>0</v>
      </c>
      <c r="EK52" s="12">
        <v>0</v>
      </c>
      <c r="EL52" s="12">
        <v>1</v>
      </c>
      <c r="EM52" s="12">
        <v>5</v>
      </c>
      <c r="EN52" s="12">
        <v>0</v>
      </c>
      <c r="EO52" s="12">
        <v>4</v>
      </c>
      <c r="EP52" s="12">
        <v>4</v>
      </c>
      <c r="EQ52" s="12">
        <v>1</v>
      </c>
      <c r="ER52" s="12">
        <v>0</v>
      </c>
      <c r="ES52" s="13">
        <v>2</v>
      </c>
      <c r="ET52" s="13">
        <v>1</v>
      </c>
      <c r="EU52" s="13">
        <v>0</v>
      </c>
      <c r="EV52" s="10">
        <v>0</v>
      </c>
      <c r="EW52" s="10">
        <v>0</v>
      </c>
      <c r="EX52" s="10">
        <v>9</v>
      </c>
      <c r="EY52" s="10">
        <v>1</v>
      </c>
      <c r="EZ52" s="10">
        <v>2</v>
      </c>
      <c r="FA52" s="10">
        <v>0</v>
      </c>
      <c r="FB52" s="10">
        <v>0</v>
      </c>
      <c r="FC52" s="10">
        <v>0</v>
      </c>
      <c r="FD52" s="10">
        <v>22</v>
      </c>
      <c r="FE52" s="10">
        <v>0</v>
      </c>
      <c r="FF52" s="10">
        <v>0</v>
      </c>
      <c r="FG52" s="10">
        <v>0</v>
      </c>
      <c r="FH52" s="10">
        <v>1</v>
      </c>
      <c r="FI52" s="10">
        <v>0</v>
      </c>
      <c r="FJ52" s="10">
        <v>12</v>
      </c>
      <c r="FK52" s="81">
        <v>0</v>
      </c>
      <c r="FL52" s="81">
        <v>0</v>
      </c>
      <c r="FM52" s="81">
        <v>13</v>
      </c>
      <c r="FN52" s="81">
        <v>0</v>
      </c>
      <c r="FO52" s="81">
        <v>0</v>
      </c>
      <c r="FP52" s="12">
        <v>1</v>
      </c>
      <c r="FQ52" s="12">
        <v>0</v>
      </c>
      <c r="FR52" s="12">
        <v>0</v>
      </c>
      <c r="FS52" s="12">
        <v>0</v>
      </c>
      <c r="FT52" s="12">
        <v>0</v>
      </c>
      <c r="FU52" s="12">
        <v>0</v>
      </c>
      <c r="FV52" s="12">
        <v>0</v>
      </c>
      <c r="FW52" s="12">
        <v>0</v>
      </c>
      <c r="FX52" s="12">
        <v>0</v>
      </c>
      <c r="FY52" s="12">
        <v>4</v>
      </c>
      <c r="FZ52" s="12">
        <v>0</v>
      </c>
      <c r="GA52" s="12">
        <v>0</v>
      </c>
      <c r="GB52" s="12">
        <v>1</v>
      </c>
      <c r="GC52" s="12">
        <v>2</v>
      </c>
      <c r="GD52" s="12">
        <v>4</v>
      </c>
      <c r="GE52" s="12">
        <v>0</v>
      </c>
      <c r="GF52" s="12">
        <v>2</v>
      </c>
      <c r="GG52" s="12">
        <v>5</v>
      </c>
      <c r="GH52" s="12">
        <v>1</v>
      </c>
      <c r="GI52" s="12">
        <v>0</v>
      </c>
      <c r="GJ52" s="12">
        <v>0</v>
      </c>
      <c r="GK52" s="12">
        <v>0</v>
      </c>
      <c r="GL52" s="12">
        <v>0</v>
      </c>
      <c r="GM52" s="12">
        <v>0</v>
      </c>
      <c r="GN52" s="12">
        <v>2</v>
      </c>
      <c r="GO52" s="12">
        <v>3</v>
      </c>
      <c r="GP52" s="12">
        <v>0</v>
      </c>
      <c r="GQ52" s="12">
        <v>7</v>
      </c>
      <c r="GR52" s="12">
        <v>0</v>
      </c>
      <c r="GS52" s="12">
        <v>5</v>
      </c>
      <c r="GT52" s="12">
        <v>0</v>
      </c>
      <c r="GU52" s="13">
        <v>98</v>
      </c>
      <c r="GV52" s="13">
        <v>0</v>
      </c>
      <c r="GW52" s="13">
        <v>0</v>
      </c>
      <c r="GX52" s="13">
        <v>0</v>
      </c>
      <c r="GY52" s="10">
        <v>0</v>
      </c>
      <c r="GZ52" s="10">
        <v>0</v>
      </c>
      <c r="HA52" s="10">
        <v>5</v>
      </c>
      <c r="HB52" s="10">
        <v>0</v>
      </c>
      <c r="HC52" s="10">
        <v>13</v>
      </c>
      <c r="HD52" s="10">
        <v>0</v>
      </c>
      <c r="HE52" s="10">
        <v>0</v>
      </c>
      <c r="HF52" s="10">
        <v>0</v>
      </c>
      <c r="HG52" s="10">
        <v>0</v>
      </c>
      <c r="HH52" s="10">
        <v>0</v>
      </c>
      <c r="HI52" s="10">
        <v>0</v>
      </c>
      <c r="HJ52" s="10">
        <v>0</v>
      </c>
      <c r="HK52" s="10">
        <v>0</v>
      </c>
      <c r="HL52" s="10">
        <v>0</v>
      </c>
      <c r="HM52" s="10">
        <v>6</v>
      </c>
      <c r="HN52" s="81">
        <v>0</v>
      </c>
      <c r="HO52" s="81">
        <v>0</v>
      </c>
      <c r="HP52" s="81">
        <v>0</v>
      </c>
      <c r="HQ52" s="81">
        <v>0</v>
      </c>
      <c r="HR52" s="81">
        <v>0</v>
      </c>
      <c r="HS52" s="12">
        <v>0</v>
      </c>
      <c r="HT52" s="12">
        <v>0</v>
      </c>
      <c r="HU52" s="12">
        <v>5</v>
      </c>
      <c r="HV52" s="12">
        <v>0</v>
      </c>
      <c r="HW52" s="12">
        <v>0</v>
      </c>
      <c r="HX52" s="12">
        <v>0</v>
      </c>
      <c r="HY52" s="12">
        <v>0</v>
      </c>
      <c r="HZ52" s="12">
        <v>0</v>
      </c>
      <c r="IA52" s="12">
        <v>0</v>
      </c>
      <c r="IB52" s="12">
        <v>0</v>
      </c>
      <c r="IC52" s="12">
        <v>2</v>
      </c>
      <c r="ID52" s="12">
        <v>0</v>
      </c>
      <c r="IE52" s="12">
        <v>3</v>
      </c>
      <c r="IF52" s="12">
        <v>0</v>
      </c>
      <c r="IG52" s="12">
        <v>0</v>
      </c>
      <c r="IH52" s="12">
        <v>0</v>
      </c>
      <c r="II52" s="12">
        <v>1</v>
      </c>
      <c r="IJ52" s="12">
        <v>0</v>
      </c>
      <c r="IK52" s="12">
        <v>0</v>
      </c>
      <c r="IL52" s="12">
        <v>0</v>
      </c>
      <c r="IM52" s="12">
        <v>0</v>
      </c>
      <c r="IN52" s="12">
        <v>0</v>
      </c>
      <c r="IO52" s="12">
        <v>0</v>
      </c>
      <c r="IP52" s="12">
        <v>0</v>
      </c>
      <c r="IQ52" s="12">
        <v>0</v>
      </c>
      <c r="IR52" s="12">
        <v>0</v>
      </c>
      <c r="IS52" s="12">
        <v>0</v>
      </c>
      <c r="IT52" s="12">
        <v>0</v>
      </c>
      <c r="IU52" s="12">
        <v>0</v>
      </c>
      <c r="IV52" s="12">
        <v>0</v>
      </c>
      <c r="IW52" s="12">
        <v>0</v>
      </c>
      <c r="IX52" s="11">
        <v>5200</v>
      </c>
      <c r="IY52" s="11">
        <v>8620</v>
      </c>
      <c r="IZ52" s="11">
        <v>8740</v>
      </c>
      <c r="JA52" s="85" t="s">
        <v>602</v>
      </c>
      <c r="JB52" s="85" t="s">
        <v>602</v>
      </c>
      <c r="JC52" s="85" t="s">
        <v>361</v>
      </c>
      <c r="JD52" s="12">
        <v>10</v>
      </c>
      <c r="JE52" s="12">
        <v>7</v>
      </c>
      <c r="JF52" s="12">
        <v>10</v>
      </c>
      <c r="JG52" s="12">
        <v>6</v>
      </c>
      <c r="JH52" s="12">
        <v>10</v>
      </c>
      <c r="JI52" s="12">
        <v>7</v>
      </c>
      <c r="JJ52" s="13" t="s">
        <v>619</v>
      </c>
      <c r="JK52" s="13" t="s">
        <v>619</v>
      </c>
      <c r="JL52" s="13" t="s">
        <v>296</v>
      </c>
      <c r="JM52" s="89"/>
      <c r="JN52" s="89"/>
      <c r="JO52" s="89" t="s">
        <v>296</v>
      </c>
      <c r="JP52" s="89"/>
      <c r="JQ52" s="89"/>
      <c r="JR52" s="89" t="s">
        <v>296</v>
      </c>
      <c r="JS52" s="89" t="s">
        <v>619</v>
      </c>
      <c r="JT52" s="89" t="s">
        <v>619</v>
      </c>
      <c r="JU52" s="89" t="s">
        <v>297</v>
      </c>
      <c r="JV52" s="89"/>
      <c r="JW52" s="89"/>
      <c r="JX52" s="89" t="s">
        <v>297</v>
      </c>
      <c r="JY52" s="12" t="s">
        <v>34</v>
      </c>
      <c r="JZ52" s="12" t="s">
        <v>34</v>
      </c>
      <c r="KA52" s="12" t="s">
        <v>34</v>
      </c>
      <c r="KB52" s="12" t="s">
        <v>34</v>
      </c>
      <c r="KC52" s="12" t="s">
        <v>34</v>
      </c>
      <c r="KD52" s="12" t="s">
        <v>34</v>
      </c>
      <c r="KE52" s="12" t="s">
        <v>34</v>
      </c>
      <c r="KF52" s="12"/>
      <c r="KG52" s="12" t="s">
        <v>34</v>
      </c>
      <c r="KH52" s="12" t="s">
        <v>34</v>
      </c>
      <c r="KI52" s="12" t="s">
        <v>619</v>
      </c>
      <c r="KJ52" s="12" t="s">
        <v>619</v>
      </c>
      <c r="KK52" s="12" t="s">
        <v>34</v>
      </c>
      <c r="KL52" s="12" t="s">
        <v>34</v>
      </c>
      <c r="KM52" s="12" t="s">
        <v>34</v>
      </c>
      <c r="KN52" s="12" t="s">
        <v>619</v>
      </c>
      <c r="KO52" s="12" t="s">
        <v>34</v>
      </c>
      <c r="KP52" s="12" t="s">
        <v>34</v>
      </c>
      <c r="KQ52" s="12" t="s">
        <v>34</v>
      </c>
      <c r="KR52" s="12" t="s">
        <v>34</v>
      </c>
      <c r="KS52" s="12" t="s">
        <v>34</v>
      </c>
      <c r="KT52" s="12" t="s">
        <v>34</v>
      </c>
      <c r="KU52" s="12" t="s">
        <v>34</v>
      </c>
      <c r="KV52" s="12" t="s">
        <v>34</v>
      </c>
      <c r="KW52" s="12" t="s">
        <v>34</v>
      </c>
      <c r="KX52" s="12" t="s">
        <v>34</v>
      </c>
      <c r="KY52" s="12" t="s">
        <v>34</v>
      </c>
      <c r="KZ52" s="12" t="s">
        <v>619</v>
      </c>
      <c r="LA52" s="12" t="s">
        <v>34</v>
      </c>
      <c r="LB52" s="12" t="s">
        <v>34</v>
      </c>
      <c r="LC52" s="12" t="s">
        <v>619</v>
      </c>
      <c r="LD52" s="12" t="s">
        <v>34</v>
      </c>
      <c r="LE52" s="12" t="s">
        <v>34</v>
      </c>
      <c r="LF52" s="12" t="s">
        <v>34</v>
      </c>
      <c r="LG52" s="12" t="s">
        <v>34</v>
      </c>
      <c r="LH52" s="12" t="s">
        <v>34</v>
      </c>
      <c r="LI52" s="12" t="s">
        <v>619</v>
      </c>
      <c r="LJ52" s="12" t="s">
        <v>619</v>
      </c>
      <c r="LK52" s="12" t="s">
        <v>34</v>
      </c>
      <c r="LL52" s="13" t="s">
        <v>34</v>
      </c>
      <c r="LM52" s="13" t="s">
        <v>34</v>
      </c>
      <c r="LN52" s="13" t="s">
        <v>34</v>
      </c>
      <c r="LO52" s="13" t="s">
        <v>34</v>
      </c>
      <c r="LP52" s="90" t="s">
        <v>34</v>
      </c>
      <c r="LQ52" s="13" t="s">
        <v>34</v>
      </c>
      <c r="LR52" s="13" t="s">
        <v>34</v>
      </c>
      <c r="LS52" s="13"/>
      <c r="LT52" s="13" t="s">
        <v>34</v>
      </c>
      <c r="LU52" s="13" t="s">
        <v>34</v>
      </c>
      <c r="LV52" s="13" t="s">
        <v>34</v>
      </c>
      <c r="LW52" s="13" t="s">
        <v>34</v>
      </c>
      <c r="LX52" s="13" t="s">
        <v>34</v>
      </c>
      <c r="LY52" s="13" t="s">
        <v>34</v>
      </c>
      <c r="LZ52" s="13" t="s">
        <v>34</v>
      </c>
      <c r="MA52" s="13" t="s">
        <v>34</v>
      </c>
      <c r="MB52" s="13" t="s">
        <v>34</v>
      </c>
      <c r="MC52" s="13" t="s">
        <v>34</v>
      </c>
      <c r="MD52" s="13" t="s">
        <v>34</v>
      </c>
      <c r="ME52" s="13" t="s">
        <v>34</v>
      </c>
      <c r="MF52" s="13" t="s">
        <v>34</v>
      </c>
      <c r="MG52" s="13" t="s">
        <v>34</v>
      </c>
      <c r="MH52" s="13" t="s">
        <v>34</v>
      </c>
      <c r="MI52" s="13" t="s">
        <v>34</v>
      </c>
      <c r="MJ52" s="13" t="s">
        <v>34</v>
      </c>
      <c r="MK52" s="13" t="s">
        <v>34</v>
      </c>
      <c r="ML52" s="13" t="s">
        <v>34</v>
      </c>
      <c r="MM52" s="13" t="s">
        <v>34</v>
      </c>
      <c r="MN52" s="13" t="s">
        <v>34</v>
      </c>
      <c r="MO52" s="13" t="s">
        <v>34</v>
      </c>
      <c r="MP52" s="13" t="s">
        <v>34</v>
      </c>
      <c r="MQ52" s="13" t="s">
        <v>34</v>
      </c>
      <c r="MR52" s="13" t="s">
        <v>34</v>
      </c>
      <c r="MS52" s="13" t="s">
        <v>34</v>
      </c>
      <c r="MT52" s="13" t="s">
        <v>34</v>
      </c>
      <c r="MU52" s="13" t="s">
        <v>34</v>
      </c>
      <c r="MV52" s="13" t="s">
        <v>34</v>
      </c>
      <c r="MW52" s="13" t="s">
        <v>34</v>
      </c>
      <c r="MX52" s="13" t="s">
        <v>34</v>
      </c>
      <c r="MY52" s="28" t="s">
        <v>296</v>
      </c>
      <c r="MZ52" s="28" t="s">
        <v>297</v>
      </c>
      <c r="NA52" s="28" t="s">
        <v>297</v>
      </c>
      <c r="NB52" s="28" t="s">
        <v>297</v>
      </c>
      <c r="NC52" s="28" t="s">
        <v>296</v>
      </c>
      <c r="ND52" s="28" t="s">
        <v>297</v>
      </c>
      <c r="NE52" s="28" t="s">
        <v>297</v>
      </c>
      <c r="NF52" s="28" t="s">
        <v>297</v>
      </c>
      <c r="NG52" s="28" t="s">
        <v>297</v>
      </c>
      <c r="NH52" s="28" t="s">
        <v>297</v>
      </c>
      <c r="NI52" s="177" t="s">
        <v>297</v>
      </c>
      <c r="NJ52" s="177" t="s">
        <v>297</v>
      </c>
      <c r="NK52" s="177" t="s">
        <v>296</v>
      </c>
      <c r="NL52" s="177" t="s">
        <v>296</v>
      </c>
      <c r="NM52" s="177" t="s">
        <v>297</v>
      </c>
      <c r="NN52" s="177" t="s">
        <v>296</v>
      </c>
      <c r="NO52" s="177" t="s">
        <v>297</v>
      </c>
      <c r="NP52" s="177" t="s">
        <v>297</v>
      </c>
      <c r="NQ52" s="177" t="s">
        <v>297</v>
      </c>
      <c r="NR52" s="12" t="s">
        <v>34</v>
      </c>
      <c r="NS52" s="13" t="s">
        <v>34</v>
      </c>
    </row>
    <row r="53" spans="1:383" x14ac:dyDescent="0.25">
      <c r="A53" s="8" t="s">
        <v>146</v>
      </c>
      <c r="B53" s="9" t="s">
        <v>147</v>
      </c>
      <c r="C53" s="9">
        <v>44</v>
      </c>
      <c r="D53" s="9" t="s">
        <v>51</v>
      </c>
      <c r="E53" s="10">
        <v>40</v>
      </c>
      <c r="F53" s="10">
        <v>34</v>
      </c>
      <c r="G53" s="10">
        <v>40</v>
      </c>
      <c r="H53" s="10">
        <v>47</v>
      </c>
      <c r="I53" s="10">
        <v>42</v>
      </c>
      <c r="J53" s="11">
        <v>96</v>
      </c>
      <c r="K53" s="11">
        <v>83</v>
      </c>
      <c r="L53" s="11">
        <v>97</v>
      </c>
      <c r="M53" s="11">
        <v>114</v>
      </c>
      <c r="N53" s="11">
        <v>101</v>
      </c>
      <c r="O53" s="13">
        <v>3297</v>
      </c>
      <c r="P53" s="13">
        <v>3410</v>
      </c>
      <c r="Q53" s="13">
        <v>3535</v>
      </c>
      <c r="R53" s="13">
        <v>4034</v>
      </c>
      <c r="S53" s="13">
        <v>3501</v>
      </c>
      <c r="T53" s="12">
        <v>0</v>
      </c>
      <c r="U53" s="12">
        <v>0</v>
      </c>
      <c r="V53" s="12">
        <v>142</v>
      </c>
      <c r="W53" s="12">
        <v>369</v>
      </c>
      <c r="X53" s="12">
        <v>270</v>
      </c>
      <c r="Y53" s="12">
        <v>6</v>
      </c>
      <c r="Z53" s="12">
        <v>6</v>
      </c>
      <c r="AA53" s="12">
        <v>6</v>
      </c>
      <c r="AB53" s="13">
        <v>6</v>
      </c>
      <c r="AC53" s="13">
        <v>6</v>
      </c>
      <c r="AD53" s="13">
        <v>6</v>
      </c>
      <c r="AE53" s="35" t="s">
        <v>259</v>
      </c>
      <c r="AF53" s="35" t="s">
        <v>259</v>
      </c>
      <c r="AG53" s="35" t="s">
        <v>259</v>
      </c>
      <c r="AH53" s="38">
        <v>0.5</v>
      </c>
      <c r="AI53" s="38">
        <v>0.5</v>
      </c>
      <c r="AJ53" s="38">
        <v>0.5</v>
      </c>
      <c r="AK53" s="45" t="s">
        <v>34</v>
      </c>
      <c r="AL53" s="45" t="s">
        <v>34</v>
      </c>
      <c r="AM53" s="45" t="s">
        <v>34</v>
      </c>
      <c r="AN53" s="45" t="s">
        <v>293</v>
      </c>
      <c r="AO53" s="45" t="s">
        <v>34</v>
      </c>
      <c r="AP53" s="45" t="s">
        <v>34</v>
      </c>
      <c r="AQ53" s="53" t="s">
        <v>296</v>
      </c>
      <c r="AR53" s="56">
        <v>110</v>
      </c>
      <c r="AS53" s="57">
        <v>75</v>
      </c>
      <c r="AT53" s="56">
        <v>70</v>
      </c>
      <c r="AU53" s="57">
        <v>17179</v>
      </c>
      <c r="AV53" s="57">
        <v>10956</v>
      </c>
      <c r="AW53" s="57">
        <v>7175</v>
      </c>
      <c r="AX53" s="57">
        <v>30</v>
      </c>
      <c r="AY53" s="57">
        <v>21</v>
      </c>
      <c r="AZ53" s="57">
        <v>25</v>
      </c>
      <c r="BA53" s="57">
        <v>274</v>
      </c>
      <c r="BB53" s="57">
        <v>7785</v>
      </c>
      <c r="BC53" s="57">
        <v>12412</v>
      </c>
      <c r="BD53" s="57">
        <v>0</v>
      </c>
      <c r="BE53" s="57">
        <v>3265</v>
      </c>
      <c r="BF53" s="57">
        <v>6709</v>
      </c>
      <c r="BG53" s="57">
        <v>316</v>
      </c>
      <c r="BH53" s="57">
        <v>1121</v>
      </c>
      <c r="BI53" s="57">
        <v>5518</v>
      </c>
      <c r="BJ53" s="57" t="s">
        <v>296</v>
      </c>
      <c r="BK53" s="57">
        <v>26</v>
      </c>
      <c r="BL53" s="57">
        <v>6</v>
      </c>
      <c r="BM53" s="57">
        <v>0</v>
      </c>
      <c r="BN53" s="57">
        <v>150</v>
      </c>
      <c r="BO53" s="57">
        <v>1500</v>
      </c>
      <c r="BP53" s="57">
        <v>300</v>
      </c>
      <c r="BQ53" s="76">
        <v>446</v>
      </c>
      <c r="BR53" s="76">
        <v>438</v>
      </c>
      <c r="BS53">
        <v>421</v>
      </c>
      <c r="BT53">
        <v>421</v>
      </c>
      <c r="BU53">
        <v>419</v>
      </c>
      <c r="BV53">
        <v>50110</v>
      </c>
      <c r="BW53">
        <v>49610</v>
      </c>
      <c r="BX53">
        <v>49030</v>
      </c>
      <c r="BY53">
        <v>48616</v>
      </c>
      <c r="BZ53">
        <v>47359</v>
      </c>
      <c r="CA53">
        <v>39</v>
      </c>
      <c r="CB53">
        <v>32</v>
      </c>
      <c r="CC53">
        <v>40</v>
      </c>
      <c r="CD53">
        <v>44</v>
      </c>
      <c r="CE53">
        <v>42</v>
      </c>
      <c r="CF53">
        <v>3297</v>
      </c>
      <c r="CG53">
        <v>3410</v>
      </c>
      <c r="CH53">
        <v>3677</v>
      </c>
      <c r="CI53">
        <v>4403</v>
      </c>
      <c r="CJ53">
        <v>3771</v>
      </c>
      <c r="CK53" s="10">
        <v>15</v>
      </c>
      <c r="CL53" s="10">
        <v>15.1</v>
      </c>
      <c r="CM53" s="10">
        <v>15.1</v>
      </c>
      <c r="CN53" s="11">
        <v>27</v>
      </c>
      <c r="CO53" s="11">
        <v>27</v>
      </c>
      <c r="CP53" s="11">
        <v>27</v>
      </c>
      <c r="CQ53" s="13">
        <v>28</v>
      </c>
      <c r="CR53" s="13">
        <v>7</v>
      </c>
      <c r="CS53" s="13">
        <v>0</v>
      </c>
      <c r="CT53" s="10">
        <v>0</v>
      </c>
      <c r="CU53" s="10">
        <v>0</v>
      </c>
      <c r="CV53" s="10">
        <v>27</v>
      </c>
      <c r="CW53" s="10">
        <v>7</v>
      </c>
      <c r="CX53" s="10">
        <v>21</v>
      </c>
      <c r="CY53" s="10">
        <v>0</v>
      </c>
      <c r="CZ53" s="10">
        <v>0</v>
      </c>
      <c r="DA53" s="10">
        <v>0</v>
      </c>
      <c r="DB53" s="10">
        <v>8</v>
      </c>
      <c r="DC53" s="10">
        <v>0</v>
      </c>
      <c r="DD53" s="10">
        <v>0</v>
      </c>
      <c r="DE53" s="10">
        <v>0</v>
      </c>
      <c r="DF53" s="10">
        <v>7</v>
      </c>
      <c r="DG53" s="10">
        <v>0</v>
      </c>
      <c r="DH53" s="10">
        <v>0</v>
      </c>
      <c r="DI53" s="81">
        <v>8</v>
      </c>
      <c r="DJ53" s="81">
        <v>1</v>
      </c>
      <c r="DK53" s="81">
        <v>4</v>
      </c>
      <c r="DL53" s="81">
        <v>0</v>
      </c>
      <c r="DM53" s="81">
        <v>1</v>
      </c>
      <c r="DN53" s="12">
        <v>12</v>
      </c>
      <c r="DO53" s="12">
        <v>0</v>
      </c>
      <c r="DP53" s="12">
        <v>16</v>
      </c>
      <c r="DQ53" s="12">
        <v>0</v>
      </c>
      <c r="DR53" s="12">
        <v>0</v>
      </c>
      <c r="DS53" s="12">
        <v>0</v>
      </c>
      <c r="DT53" s="12">
        <v>0</v>
      </c>
      <c r="DU53" s="12">
        <v>0</v>
      </c>
      <c r="DV53" s="12">
        <v>11</v>
      </c>
      <c r="DW53" s="12">
        <v>11</v>
      </c>
      <c r="DX53" s="12">
        <v>1</v>
      </c>
      <c r="DY53" s="12">
        <v>25</v>
      </c>
      <c r="DZ53" s="12">
        <v>0</v>
      </c>
      <c r="EA53" s="12">
        <v>0</v>
      </c>
      <c r="EB53" s="12">
        <v>23</v>
      </c>
      <c r="EC53" s="12">
        <v>1</v>
      </c>
      <c r="ED53" s="12">
        <v>1</v>
      </c>
      <c r="EE53" s="12">
        <v>18</v>
      </c>
      <c r="EF53" s="12">
        <v>9</v>
      </c>
      <c r="EG53" s="12">
        <v>0</v>
      </c>
      <c r="EH53" s="12">
        <v>0</v>
      </c>
      <c r="EI53" s="12">
        <v>0</v>
      </c>
      <c r="EJ53" s="12">
        <v>0</v>
      </c>
      <c r="EK53" s="12">
        <v>0</v>
      </c>
      <c r="EL53" s="12">
        <v>4</v>
      </c>
      <c r="EM53" s="12">
        <v>3</v>
      </c>
      <c r="EN53" s="12">
        <v>12</v>
      </c>
      <c r="EO53" s="12">
        <v>1</v>
      </c>
      <c r="EP53" s="12">
        <v>7</v>
      </c>
      <c r="EQ53" s="12">
        <v>2</v>
      </c>
      <c r="ER53" s="12">
        <v>0</v>
      </c>
      <c r="ES53" s="13">
        <v>32</v>
      </c>
      <c r="ET53" s="13">
        <v>6</v>
      </c>
      <c r="EU53" s="13">
        <v>0</v>
      </c>
      <c r="EV53" s="10">
        <v>0</v>
      </c>
      <c r="EW53" s="10">
        <v>0</v>
      </c>
      <c r="EX53" s="10">
        <v>12</v>
      </c>
      <c r="EY53" s="10">
        <v>1</v>
      </c>
      <c r="EZ53" s="10">
        <v>11</v>
      </c>
      <c r="FA53" s="10">
        <v>0</v>
      </c>
      <c r="FB53" s="10">
        <v>0</v>
      </c>
      <c r="FC53" s="10">
        <v>0</v>
      </c>
      <c r="FD53" s="10">
        <v>0</v>
      </c>
      <c r="FE53" s="10">
        <v>0</v>
      </c>
      <c r="FF53" s="10">
        <v>2</v>
      </c>
      <c r="FG53" s="10">
        <v>0</v>
      </c>
      <c r="FH53" s="10">
        <v>0</v>
      </c>
      <c r="FI53" s="10">
        <v>0</v>
      </c>
      <c r="FJ53" s="10">
        <v>0</v>
      </c>
      <c r="FK53" s="81">
        <v>2</v>
      </c>
      <c r="FL53" s="81">
        <v>0</v>
      </c>
      <c r="FM53" s="81">
        <v>5</v>
      </c>
      <c r="FN53" s="81">
        <v>0</v>
      </c>
      <c r="FO53" s="81">
        <v>0</v>
      </c>
      <c r="FP53" s="12">
        <v>0</v>
      </c>
      <c r="FQ53" s="12">
        <v>0</v>
      </c>
      <c r="FR53" s="12">
        <v>20</v>
      </c>
      <c r="FS53" s="12">
        <v>0</v>
      </c>
      <c r="FT53" s="12">
        <v>0</v>
      </c>
      <c r="FU53" s="12">
        <v>0</v>
      </c>
      <c r="FV53" s="12">
        <v>0</v>
      </c>
      <c r="FW53" s="12">
        <v>0</v>
      </c>
      <c r="FX53" s="12">
        <v>1</v>
      </c>
      <c r="FY53" s="12">
        <v>7</v>
      </c>
      <c r="FZ53" s="12">
        <v>0</v>
      </c>
      <c r="GA53" s="12">
        <v>6</v>
      </c>
      <c r="GB53" s="12">
        <v>0</v>
      </c>
      <c r="GC53" s="12">
        <v>0</v>
      </c>
      <c r="GD53" s="12">
        <v>21</v>
      </c>
      <c r="GE53" s="12">
        <v>1</v>
      </c>
      <c r="GF53" s="12">
        <v>3</v>
      </c>
      <c r="GG53" s="12">
        <v>16</v>
      </c>
      <c r="GH53" s="12">
        <v>10</v>
      </c>
      <c r="GI53" s="12">
        <v>0</v>
      </c>
      <c r="GJ53" s="12">
        <v>0</v>
      </c>
      <c r="GK53" s="12">
        <v>0</v>
      </c>
      <c r="GL53" s="12">
        <v>1</v>
      </c>
      <c r="GM53" s="12">
        <v>0</v>
      </c>
      <c r="GN53" s="12">
        <v>1</v>
      </c>
      <c r="GO53" s="12">
        <v>9</v>
      </c>
      <c r="GP53" s="12">
        <v>7</v>
      </c>
      <c r="GQ53" s="12">
        <v>2</v>
      </c>
      <c r="GR53" s="12">
        <v>2</v>
      </c>
      <c r="GS53" s="12">
        <v>9</v>
      </c>
      <c r="GT53" s="12">
        <v>0</v>
      </c>
      <c r="GU53" s="13">
        <v>75</v>
      </c>
      <c r="GV53" s="13">
        <v>36</v>
      </c>
      <c r="GW53" s="13">
        <v>10</v>
      </c>
      <c r="GX53" s="13">
        <v>0</v>
      </c>
      <c r="GY53" s="10">
        <v>0</v>
      </c>
      <c r="GZ53" s="10">
        <v>0</v>
      </c>
      <c r="HA53" s="10">
        <v>8</v>
      </c>
      <c r="HB53" s="10">
        <v>6</v>
      </c>
      <c r="HC53" s="10">
        <v>25</v>
      </c>
      <c r="HD53" s="10">
        <v>0</v>
      </c>
      <c r="HE53" s="10">
        <v>0</v>
      </c>
      <c r="HF53" s="10">
        <v>0</v>
      </c>
      <c r="HG53" s="10">
        <v>0</v>
      </c>
      <c r="HH53" s="10">
        <v>0</v>
      </c>
      <c r="HI53" s="10">
        <v>1</v>
      </c>
      <c r="HJ53" s="10">
        <v>0</v>
      </c>
      <c r="HK53" s="10">
        <v>1</v>
      </c>
      <c r="HL53" s="10">
        <v>0</v>
      </c>
      <c r="HM53" s="10">
        <v>32</v>
      </c>
      <c r="HN53" s="81">
        <v>15</v>
      </c>
      <c r="HO53" s="81">
        <v>0</v>
      </c>
      <c r="HP53" s="81">
        <v>0</v>
      </c>
      <c r="HQ53" s="81">
        <v>0</v>
      </c>
      <c r="HR53" s="81">
        <v>1</v>
      </c>
      <c r="HS53" s="12">
        <v>6</v>
      </c>
      <c r="HT53" s="12">
        <v>2</v>
      </c>
      <c r="HU53" s="12">
        <v>0</v>
      </c>
      <c r="HV53" s="12">
        <v>1</v>
      </c>
      <c r="HW53" s="12">
        <v>3</v>
      </c>
      <c r="HX53" s="12">
        <v>0</v>
      </c>
      <c r="HY53" s="12">
        <v>0</v>
      </c>
      <c r="HZ53" s="12">
        <v>0</v>
      </c>
      <c r="IA53" s="12">
        <v>0</v>
      </c>
      <c r="IB53" s="12">
        <v>0</v>
      </c>
      <c r="IC53" s="12">
        <v>7</v>
      </c>
      <c r="ID53" s="12">
        <v>1</v>
      </c>
      <c r="IE53" s="12">
        <v>0</v>
      </c>
      <c r="IF53" s="12">
        <v>0</v>
      </c>
      <c r="IG53" s="12">
        <v>19</v>
      </c>
      <c r="IH53" s="12">
        <v>0</v>
      </c>
      <c r="II53" s="12">
        <v>23</v>
      </c>
      <c r="IJ53" s="12">
        <v>0</v>
      </c>
      <c r="IK53" s="12">
        <v>0</v>
      </c>
      <c r="IL53" s="12">
        <v>0</v>
      </c>
      <c r="IM53" s="12">
        <v>0</v>
      </c>
      <c r="IN53" s="12">
        <v>0</v>
      </c>
      <c r="IO53" s="12">
        <v>3</v>
      </c>
      <c r="IP53" s="12">
        <v>0</v>
      </c>
      <c r="IQ53" s="12">
        <v>0</v>
      </c>
      <c r="IR53" s="12">
        <v>19</v>
      </c>
      <c r="IS53" s="12">
        <v>0</v>
      </c>
      <c r="IT53" s="12">
        <v>6</v>
      </c>
      <c r="IU53" s="12">
        <v>4</v>
      </c>
      <c r="IV53" s="12">
        <v>22</v>
      </c>
      <c r="IW53" s="12">
        <v>0</v>
      </c>
      <c r="IX53" s="11">
        <v>13600</v>
      </c>
      <c r="IY53" s="11">
        <v>16200</v>
      </c>
      <c r="IZ53" s="11">
        <v>14000</v>
      </c>
      <c r="JA53" s="85" t="s">
        <v>604</v>
      </c>
      <c r="JB53" s="85" t="s">
        <v>602</v>
      </c>
      <c r="JC53" s="85">
        <v>0</v>
      </c>
      <c r="JD53" s="12">
        <v>11</v>
      </c>
      <c r="JE53" s="12">
        <v>4</v>
      </c>
      <c r="JF53" s="12">
        <v>11</v>
      </c>
      <c r="JG53" s="12">
        <v>4</v>
      </c>
      <c r="JH53" s="12">
        <v>11</v>
      </c>
      <c r="JI53" s="12">
        <v>6</v>
      </c>
      <c r="JJ53" s="13" t="s">
        <v>619</v>
      </c>
      <c r="JK53" s="13" t="s">
        <v>619</v>
      </c>
      <c r="JL53" s="13" t="s">
        <v>296</v>
      </c>
      <c r="JM53" s="89"/>
      <c r="JN53" s="89"/>
      <c r="JO53" s="89" t="s">
        <v>296</v>
      </c>
      <c r="JP53" s="89"/>
      <c r="JQ53" s="89"/>
      <c r="JR53" s="89" t="s">
        <v>296</v>
      </c>
      <c r="JS53" s="89" t="s">
        <v>620</v>
      </c>
      <c r="JT53" s="89" t="s">
        <v>619</v>
      </c>
      <c r="JU53" s="89" t="s">
        <v>296</v>
      </c>
      <c r="JV53" s="89"/>
      <c r="JW53" s="89"/>
      <c r="JX53" s="89" t="s">
        <v>297</v>
      </c>
      <c r="JY53" s="12" t="s">
        <v>619</v>
      </c>
      <c r="JZ53" s="12" t="s">
        <v>34</v>
      </c>
      <c r="KA53" s="12" t="s">
        <v>34</v>
      </c>
      <c r="KB53" s="12" t="s">
        <v>34</v>
      </c>
      <c r="KC53" s="12" t="s">
        <v>619</v>
      </c>
      <c r="KD53" s="12" t="s">
        <v>34</v>
      </c>
      <c r="KE53" s="12" t="s">
        <v>34</v>
      </c>
      <c r="KF53" s="12"/>
      <c r="KG53" s="12" t="s">
        <v>619</v>
      </c>
      <c r="KH53" s="12" t="s">
        <v>34</v>
      </c>
      <c r="KI53" s="12" t="s">
        <v>619</v>
      </c>
      <c r="KJ53" s="12" t="s">
        <v>619</v>
      </c>
      <c r="KK53" s="12" t="s">
        <v>34</v>
      </c>
      <c r="KL53" s="12" t="s">
        <v>34</v>
      </c>
      <c r="KM53" s="12" t="s">
        <v>34</v>
      </c>
      <c r="KN53" s="12" t="s">
        <v>619</v>
      </c>
      <c r="KO53" s="12" t="s">
        <v>619</v>
      </c>
      <c r="KP53" s="12" t="s">
        <v>34</v>
      </c>
      <c r="KQ53" s="12" t="s">
        <v>619</v>
      </c>
      <c r="KR53" s="12" t="s">
        <v>619</v>
      </c>
      <c r="KS53" s="12" t="s">
        <v>34</v>
      </c>
      <c r="KT53" s="12" t="s">
        <v>34</v>
      </c>
      <c r="KU53" s="12" t="s">
        <v>34</v>
      </c>
      <c r="KV53" s="12" t="s">
        <v>619</v>
      </c>
      <c r="KW53" s="12" t="s">
        <v>34</v>
      </c>
      <c r="KX53" s="12" t="s">
        <v>34</v>
      </c>
      <c r="KY53" s="12" t="s">
        <v>34</v>
      </c>
      <c r="KZ53" s="12" t="s">
        <v>619</v>
      </c>
      <c r="LA53" s="12" t="s">
        <v>34</v>
      </c>
      <c r="LB53" s="12" t="s">
        <v>619</v>
      </c>
      <c r="LC53" s="12" t="s">
        <v>619</v>
      </c>
      <c r="LD53" s="12" t="s">
        <v>619</v>
      </c>
      <c r="LE53" s="12" t="s">
        <v>34</v>
      </c>
      <c r="LF53" s="12" t="s">
        <v>34</v>
      </c>
      <c r="LG53" s="12" t="s">
        <v>619</v>
      </c>
      <c r="LH53" s="12" t="s">
        <v>34</v>
      </c>
      <c r="LI53" s="12" t="s">
        <v>619</v>
      </c>
      <c r="LJ53" s="12" t="s">
        <v>619</v>
      </c>
      <c r="LK53" s="12" t="s">
        <v>34</v>
      </c>
      <c r="LL53" s="13" t="s">
        <v>619</v>
      </c>
      <c r="LM53" s="13" t="s">
        <v>34</v>
      </c>
      <c r="LN53" s="13" t="s">
        <v>34</v>
      </c>
      <c r="LO53" s="13" t="s">
        <v>34</v>
      </c>
      <c r="LP53" s="90" t="s">
        <v>34</v>
      </c>
      <c r="LQ53" s="13" t="s">
        <v>34</v>
      </c>
      <c r="LR53" s="13" t="s">
        <v>34</v>
      </c>
      <c r="LS53" s="13"/>
      <c r="LT53" s="13" t="s">
        <v>34</v>
      </c>
      <c r="LU53" s="13" t="s">
        <v>34</v>
      </c>
      <c r="LV53" s="13" t="s">
        <v>34</v>
      </c>
      <c r="LW53" s="13" t="s">
        <v>34</v>
      </c>
      <c r="LX53" s="13" t="s">
        <v>34</v>
      </c>
      <c r="LY53" s="13" t="s">
        <v>34</v>
      </c>
      <c r="LZ53" s="13" t="s">
        <v>34</v>
      </c>
      <c r="MA53" s="13" t="s">
        <v>34</v>
      </c>
      <c r="MB53" s="13" t="s">
        <v>34</v>
      </c>
      <c r="MC53" s="13" t="s">
        <v>34</v>
      </c>
      <c r="MD53" s="13" t="s">
        <v>34</v>
      </c>
      <c r="ME53" s="13" t="s">
        <v>34</v>
      </c>
      <c r="MF53" s="13" t="s">
        <v>34</v>
      </c>
      <c r="MG53" s="13" t="s">
        <v>34</v>
      </c>
      <c r="MH53" s="13" t="s">
        <v>34</v>
      </c>
      <c r="MI53" s="13" t="s">
        <v>34</v>
      </c>
      <c r="MJ53" s="13" t="s">
        <v>34</v>
      </c>
      <c r="MK53" s="13" t="s">
        <v>34</v>
      </c>
      <c r="ML53" s="13" t="s">
        <v>34</v>
      </c>
      <c r="MM53" s="13" t="s">
        <v>619</v>
      </c>
      <c r="MN53" s="13" t="s">
        <v>34</v>
      </c>
      <c r="MO53" s="13" t="s">
        <v>34</v>
      </c>
      <c r="MP53" s="13" t="s">
        <v>34</v>
      </c>
      <c r="MQ53" s="13" t="s">
        <v>619</v>
      </c>
      <c r="MR53" s="13" t="s">
        <v>34</v>
      </c>
      <c r="MS53" s="13" t="s">
        <v>34</v>
      </c>
      <c r="MT53" s="13" t="s">
        <v>34</v>
      </c>
      <c r="MU53" s="13" t="s">
        <v>34</v>
      </c>
      <c r="MV53" s="13" t="s">
        <v>619</v>
      </c>
      <c r="MW53" s="13" t="s">
        <v>34</v>
      </c>
      <c r="MX53" s="13" t="s">
        <v>34</v>
      </c>
      <c r="MY53" s="28" t="s">
        <v>296</v>
      </c>
      <c r="MZ53" s="28" t="s">
        <v>296</v>
      </c>
      <c r="NA53" s="28" t="s">
        <v>297</v>
      </c>
      <c r="NB53" s="28" t="s">
        <v>296</v>
      </c>
      <c r="NC53" s="28" t="s">
        <v>296</v>
      </c>
      <c r="ND53" s="28" t="s">
        <v>296</v>
      </c>
      <c r="NE53" s="28" t="s">
        <v>296</v>
      </c>
      <c r="NF53" s="28" t="s">
        <v>297</v>
      </c>
      <c r="NG53" s="28" t="s">
        <v>296</v>
      </c>
      <c r="NH53" s="28" t="s">
        <v>297</v>
      </c>
      <c r="NI53" s="177" t="s">
        <v>297</v>
      </c>
      <c r="NJ53" s="177" t="s">
        <v>296</v>
      </c>
      <c r="NK53" s="177" t="s">
        <v>296</v>
      </c>
      <c r="NL53" s="177" t="s">
        <v>296</v>
      </c>
      <c r="NM53" s="177" t="s">
        <v>296</v>
      </c>
      <c r="NN53" s="177" t="s">
        <v>296</v>
      </c>
      <c r="NO53" s="177" t="s">
        <v>296</v>
      </c>
      <c r="NP53" s="177" t="s">
        <v>296</v>
      </c>
      <c r="NQ53" s="177" t="s">
        <v>296</v>
      </c>
      <c r="NR53" s="12" t="s">
        <v>619</v>
      </c>
      <c r="NS53" s="13" t="s">
        <v>34</v>
      </c>
    </row>
    <row r="54" spans="1:383" x14ac:dyDescent="0.25">
      <c r="A54" s="8" t="s">
        <v>148</v>
      </c>
      <c r="B54" s="9" t="s">
        <v>149</v>
      </c>
      <c r="C54" s="9">
        <v>44</v>
      </c>
      <c r="D54" s="9" t="s">
        <v>51</v>
      </c>
      <c r="E54" s="10">
        <v>10</v>
      </c>
      <c r="F54" s="10">
        <v>10</v>
      </c>
      <c r="G54" s="10">
        <v>11</v>
      </c>
      <c r="H54" s="10">
        <v>8</v>
      </c>
      <c r="I54" s="10">
        <v>7</v>
      </c>
      <c r="J54" s="11">
        <v>75</v>
      </c>
      <c r="K54" s="11">
        <v>67</v>
      </c>
      <c r="L54" s="11">
        <v>38</v>
      </c>
      <c r="M54" s="11">
        <v>44</v>
      </c>
      <c r="N54" s="11">
        <v>30</v>
      </c>
      <c r="O54" s="13">
        <v>3880</v>
      </c>
      <c r="P54" s="13">
        <v>4025</v>
      </c>
      <c r="Q54" s="13">
        <v>2830</v>
      </c>
      <c r="R54" s="13">
        <v>3126</v>
      </c>
      <c r="S54" s="13">
        <v>963</v>
      </c>
      <c r="T54" s="12">
        <v>487</v>
      </c>
      <c r="U54" s="12">
        <v>70</v>
      </c>
      <c r="V54" s="12">
        <v>455</v>
      </c>
      <c r="W54" s="12">
        <v>273</v>
      </c>
      <c r="X54" s="12">
        <v>27</v>
      </c>
      <c r="Y54" s="12">
        <v>6.96</v>
      </c>
      <c r="Z54" s="12">
        <v>5</v>
      </c>
      <c r="AA54" s="12">
        <v>5</v>
      </c>
      <c r="AB54" s="13">
        <v>6.96</v>
      </c>
      <c r="AC54" s="13">
        <v>5</v>
      </c>
      <c r="AD54" s="13">
        <v>5</v>
      </c>
      <c r="AE54" s="35" t="s">
        <v>319</v>
      </c>
      <c r="AF54" s="35" t="s">
        <v>259</v>
      </c>
      <c r="AG54" s="35" t="s">
        <v>259</v>
      </c>
      <c r="AH54" s="39" t="s">
        <v>319</v>
      </c>
      <c r="AI54" s="39">
        <v>0.75</v>
      </c>
      <c r="AJ54" s="39">
        <v>1</v>
      </c>
      <c r="AK54" s="45" t="s">
        <v>34</v>
      </c>
      <c r="AL54" s="45" t="s">
        <v>34</v>
      </c>
      <c r="AM54" s="45" t="s">
        <v>34</v>
      </c>
      <c r="AN54" s="45" t="s">
        <v>34</v>
      </c>
      <c r="AO54" s="45" t="s">
        <v>34</v>
      </c>
      <c r="AP54" s="45" t="s">
        <v>34</v>
      </c>
      <c r="AQ54" s="53" t="s">
        <v>297</v>
      </c>
      <c r="AR54" s="56">
        <v>52</v>
      </c>
      <c r="AS54" s="57">
        <v>17</v>
      </c>
      <c r="AT54" s="56">
        <v>19</v>
      </c>
      <c r="AU54" s="57">
        <v>11094</v>
      </c>
      <c r="AV54" s="57">
        <v>5222</v>
      </c>
      <c r="AW54" s="57">
        <v>2185</v>
      </c>
      <c r="AX54" s="57">
        <v>18</v>
      </c>
      <c r="AY54" s="57">
        <v>12</v>
      </c>
      <c r="AZ54" s="57">
        <v>11</v>
      </c>
      <c r="BA54" s="57">
        <v>0</v>
      </c>
      <c r="BB54" s="57">
        <v>0</v>
      </c>
      <c r="BC54" s="57">
        <v>0</v>
      </c>
      <c r="BD54" s="57">
        <v>0</v>
      </c>
      <c r="BE54" s="57">
        <v>0</v>
      </c>
      <c r="BF54" s="57">
        <v>0</v>
      </c>
      <c r="BG54" s="57">
        <v>0</v>
      </c>
      <c r="BH54" s="57">
        <v>452</v>
      </c>
      <c r="BI54" s="57">
        <v>1663</v>
      </c>
      <c r="BJ54" s="57" t="s">
        <v>297</v>
      </c>
      <c r="BK54" s="57">
        <v>9</v>
      </c>
      <c r="BL54" s="57">
        <v>0</v>
      </c>
      <c r="BM54" s="57">
        <v>0</v>
      </c>
      <c r="BN54" s="57">
        <v>231</v>
      </c>
      <c r="BO54" s="57">
        <v>0</v>
      </c>
      <c r="BP54" s="57">
        <v>300</v>
      </c>
      <c r="BQ54" s="76">
        <v>170</v>
      </c>
      <c r="BR54" s="76">
        <v>164</v>
      </c>
      <c r="BS54">
        <v>161</v>
      </c>
      <c r="BT54">
        <v>161</v>
      </c>
      <c r="BU54">
        <v>160</v>
      </c>
      <c r="BV54">
        <v>14856</v>
      </c>
      <c r="BW54">
        <v>14582</v>
      </c>
      <c r="BX54">
        <v>14213</v>
      </c>
      <c r="BY54">
        <v>13829</v>
      </c>
      <c r="BZ54">
        <v>13532</v>
      </c>
      <c r="CA54">
        <v>81</v>
      </c>
      <c r="CB54">
        <v>73</v>
      </c>
      <c r="CC54" t="s">
        <v>350</v>
      </c>
      <c r="CD54">
        <v>53</v>
      </c>
      <c r="CE54">
        <v>12</v>
      </c>
      <c r="CF54">
        <v>4367</v>
      </c>
      <c r="CG54">
        <v>4095</v>
      </c>
      <c r="CH54">
        <v>3285</v>
      </c>
      <c r="CI54">
        <v>3399</v>
      </c>
      <c r="CJ54">
        <v>990</v>
      </c>
      <c r="CK54" s="10">
        <v>41.95</v>
      </c>
      <c r="CL54" s="10">
        <v>42.05</v>
      </c>
      <c r="CM54" s="10">
        <v>42.05</v>
      </c>
      <c r="CN54" s="11">
        <v>16.399999999999999</v>
      </c>
      <c r="CO54" s="11">
        <v>16.41</v>
      </c>
      <c r="CP54" s="11">
        <v>16.41</v>
      </c>
      <c r="CQ54" s="13">
        <v>10</v>
      </c>
      <c r="CR54" s="13">
        <v>15</v>
      </c>
      <c r="CS54" s="13">
        <v>1</v>
      </c>
      <c r="CT54" s="10">
        <v>0</v>
      </c>
      <c r="CU54" s="10">
        <v>3</v>
      </c>
      <c r="CV54" s="10">
        <v>4</v>
      </c>
      <c r="CW54" s="10">
        <v>1</v>
      </c>
      <c r="CX54" s="10">
        <v>7</v>
      </c>
      <c r="CY54" s="10">
        <v>0</v>
      </c>
      <c r="CZ54" s="10">
        <v>0</v>
      </c>
      <c r="DA54" s="10">
        <v>2</v>
      </c>
      <c r="DB54" s="10">
        <v>0</v>
      </c>
      <c r="DC54" s="10">
        <v>0</v>
      </c>
      <c r="DD54" s="10">
        <v>0</v>
      </c>
      <c r="DE54" s="10">
        <v>0</v>
      </c>
      <c r="DF54" s="10">
        <v>0</v>
      </c>
      <c r="DG54" s="10">
        <v>2</v>
      </c>
      <c r="DH54" s="10">
        <v>0</v>
      </c>
      <c r="DI54" s="81">
        <v>2</v>
      </c>
      <c r="DJ54" s="81">
        <v>0</v>
      </c>
      <c r="DK54" s="81">
        <v>0</v>
      </c>
      <c r="DL54" s="81">
        <v>0</v>
      </c>
      <c r="DM54" s="81">
        <v>1</v>
      </c>
      <c r="DN54" s="12">
        <v>2</v>
      </c>
      <c r="DO54" s="12">
        <v>0</v>
      </c>
      <c r="DP54" s="12">
        <v>3</v>
      </c>
      <c r="DQ54" s="12">
        <v>0</v>
      </c>
      <c r="DR54" s="12">
        <v>1</v>
      </c>
      <c r="DS54" s="12">
        <v>0</v>
      </c>
      <c r="DT54" s="12">
        <v>1</v>
      </c>
      <c r="DU54" s="12">
        <v>0</v>
      </c>
      <c r="DV54" s="12">
        <v>2</v>
      </c>
      <c r="DW54" s="12">
        <v>5</v>
      </c>
      <c r="DX54" s="12">
        <v>0</v>
      </c>
      <c r="DY54" s="12">
        <v>6</v>
      </c>
      <c r="DZ54" s="12">
        <v>0</v>
      </c>
      <c r="EA54" s="12">
        <v>0</v>
      </c>
      <c r="EB54" s="12">
        <v>0</v>
      </c>
      <c r="EC54" s="12">
        <v>0</v>
      </c>
      <c r="ED54" s="12">
        <v>2</v>
      </c>
      <c r="EE54" s="12">
        <v>3</v>
      </c>
      <c r="EF54" s="12">
        <v>1</v>
      </c>
      <c r="EG54" s="12">
        <v>0</v>
      </c>
      <c r="EH54" s="12">
        <v>0</v>
      </c>
      <c r="EI54" s="12">
        <v>0</v>
      </c>
      <c r="EJ54" s="12">
        <v>2</v>
      </c>
      <c r="EK54" s="12">
        <v>2</v>
      </c>
      <c r="EL54" s="12">
        <v>1</v>
      </c>
      <c r="EM54" s="12">
        <v>3</v>
      </c>
      <c r="EN54" s="12">
        <v>2</v>
      </c>
      <c r="EO54" s="12">
        <v>0</v>
      </c>
      <c r="EP54" s="12">
        <v>7</v>
      </c>
      <c r="EQ54" s="12">
        <v>2</v>
      </c>
      <c r="ER54" s="12">
        <v>1</v>
      </c>
      <c r="ES54" s="13">
        <v>0</v>
      </c>
      <c r="ET54" s="13">
        <v>0</v>
      </c>
      <c r="EU54" s="13">
        <v>0</v>
      </c>
      <c r="EV54" s="10">
        <v>0</v>
      </c>
      <c r="EW54" s="10">
        <v>0</v>
      </c>
      <c r="EX54" s="10">
        <v>0</v>
      </c>
      <c r="EY54" s="10">
        <v>0</v>
      </c>
      <c r="EZ54" s="10">
        <v>0</v>
      </c>
      <c r="FA54" s="10">
        <v>0</v>
      </c>
      <c r="FB54" s="10">
        <v>0</v>
      </c>
      <c r="FC54" s="10">
        <v>0</v>
      </c>
      <c r="FD54" s="10">
        <v>0</v>
      </c>
      <c r="FE54" s="10">
        <v>0</v>
      </c>
      <c r="FF54" s="10">
        <v>0</v>
      </c>
      <c r="FG54" s="10">
        <v>0</v>
      </c>
      <c r="FH54" s="10">
        <v>0</v>
      </c>
      <c r="FI54" s="10">
        <v>0</v>
      </c>
      <c r="FJ54" s="10">
        <v>0</v>
      </c>
      <c r="FK54" s="81">
        <v>0</v>
      </c>
      <c r="FL54" s="81">
        <v>0</v>
      </c>
      <c r="FM54" s="81">
        <v>0</v>
      </c>
      <c r="FN54" s="81">
        <v>0</v>
      </c>
      <c r="FO54" s="81">
        <v>0</v>
      </c>
      <c r="FP54" s="12">
        <v>0</v>
      </c>
      <c r="FQ54" s="12">
        <v>0</v>
      </c>
      <c r="FR54" s="12">
        <v>0</v>
      </c>
      <c r="FS54" s="12">
        <v>0</v>
      </c>
      <c r="FT54" s="12">
        <v>0</v>
      </c>
      <c r="FU54" s="12">
        <v>0</v>
      </c>
      <c r="FV54" s="12">
        <v>0</v>
      </c>
      <c r="FW54" s="12">
        <v>0</v>
      </c>
      <c r="FX54" s="12">
        <v>0</v>
      </c>
      <c r="FY54" s="12">
        <v>0</v>
      </c>
      <c r="FZ54" s="12">
        <v>0</v>
      </c>
      <c r="GA54" s="12">
        <v>0</v>
      </c>
      <c r="GB54" s="12">
        <v>0</v>
      </c>
      <c r="GC54" s="12">
        <v>0</v>
      </c>
      <c r="GD54" s="12">
        <v>0</v>
      </c>
      <c r="GE54" s="12">
        <v>0</v>
      </c>
      <c r="GF54" s="12">
        <v>0</v>
      </c>
      <c r="GG54" s="12">
        <v>0</v>
      </c>
      <c r="GH54" s="12">
        <v>0</v>
      </c>
      <c r="GI54" s="12">
        <v>0</v>
      </c>
      <c r="GJ54" s="12">
        <v>0</v>
      </c>
      <c r="GK54" s="12">
        <v>0</v>
      </c>
      <c r="GL54" s="12">
        <v>0</v>
      </c>
      <c r="GM54" s="12">
        <v>0</v>
      </c>
      <c r="GN54" s="12">
        <v>0</v>
      </c>
      <c r="GO54" s="12">
        <v>0</v>
      </c>
      <c r="GP54" s="12">
        <v>0</v>
      </c>
      <c r="GQ54" s="12">
        <v>0</v>
      </c>
      <c r="GR54" s="12">
        <v>0</v>
      </c>
      <c r="GS54" s="12">
        <v>0</v>
      </c>
      <c r="GT54" s="12">
        <v>0</v>
      </c>
      <c r="GU54" s="13">
        <v>17</v>
      </c>
      <c r="GV54" s="13">
        <v>1</v>
      </c>
      <c r="GW54" s="13">
        <v>1</v>
      </c>
      <c r="GX54" s="13">
        <v>1</v>
      </c>
      <c r="GY54" s="10">
        <v>0</v>
      </c>
      <c r="GZ54" s="10">
        <v>2</v>
      </c>
      <c r="HA54" s="10">
        <v>0</v>
      </c>
      <c r="HB54" s="10">
        <v>1</v>
      </c>
      <c r="HC54" s="10">
        <v>5</v>
      </c>
      <c r="HD54" s="10">
        <v>0</v>
      </c>
      <c r="HE54" s="10">
        <v>0</v>
      </c>
      <c r="HF54" s="10">
        <v>0</v>
      </c>
      <c r="HG54" s="10">
        <v>0</v>
      </c>
      <c r="HH54" s="10">
        <v>0</v>
      </c>
      <c r="HI54" s="10">
        <v>0</v>
      </c>
      <c r="HJ54" s="10">
        <v>0</v>
      </c>
      <c r="HK54" s="10">
        <v>0</v>
      </c>
      <c r="HL54" s="10">
        <v>1</v>
      </c>
      <c r="HM54" s="10">
        <v>0</v>
      </c>
      <c r="HN54" s="81">
        <v>0</v>
      </c>
      <c r="HO54" s="81">
        <v>0</v>
      </c>
      <c r="HP54" s="81">
        <v>0</v>
      </c>
      <c r="HQ54" s="81">
        <v>0</v>
      </c>
      <c r="HR54" s="81">
        <v>0</v>
      </c>
      <c r="HS54" s="12">
        <v>1</v>
      </c>
      <c r="HT54" s="12">
        <v>0</v>
      </c>
      <c r="HU54" s="12">
        <v>0</v>
      </c>
      <c r="HV54" s="12">
        <v>0</v>
      </c>
      <c r="HW54" s="12">
        <v>0</v>
      </c>
      <c r="HX54" s="12">
        <v>0</v>
      </c>
      <c r="HY54" s="12">
        <v>0</v>
      </c>
      <c r="HZ54" s="12">
        <v>0</v>
      </c>
      <c r="IA54" s="12">
        <v>0</v>
      </c>
      <c r="IB54" s="12">
        <v>3</v>
      </c>
      <c r="IC54" s="12">
        <v>0</v>
      </c>
      <c r="ID54" s="12">
        <v>2</v>
      </c>
      <c r="IE54" s="12">
        <v>2</v>
      </c>
      <c r="IF54" s="12">
        <v>0</v>
      </c>
      <c r="IG54" s="12">
        <v>1</v>
      </c>
      <c r="IH54" s="12">
        <v>0</v>
      </c>
      <c r="II54" s="12">
        <v>0</v>
      </c>
      <c r="IJ54" s="12">
        <v>0</v>
      </c>
      <c r="IK54" s="12">
        <v>0</v>
      </c>
      <c r="IL54" s="12">
        <v>0</v>
      </c>
      <c r="IM54" s="12">
        <v>0</v>
      </c>
      <c r="IN54" s="12">
        <v>0</v>
      </c>
      <c r="IO54" s="12">
        <v>0</v>
      </c>
      <c r="IP54" s="12">
        <v>0</v>
      </c>
      <c r="IQ54" s="12">
        <v>1</v>
      </c>
      <c r="IR54" s="12">
        <v>1</v>
      </c>
      <c r="IS54" s="12">
        <v>3</v>
      </c>
      <c r="IT54" s="12">
        <v>0</v>
      </c>
      <c r="IU54" s="12">
        <v>1</v>
      </c>
      <c r="IV54" s="12">
        <v>1</v>
      </c>
      <c r="IW54" s="12">
        <v>0</v>
      </c>
      <c r="IX54" s="11" t="s">
        <v>350</v>
      </c>
      <c r="IY54" s="11">
        <v>8500</v>
      </c>
      <c r="IZ54" s="11">
        <v>8500</v>
      </c>
      <c r="JA54" s="85" t="s">
        <v>361</v>
      </c>
      <c r="JB54" s="85" t="s">
        <v>604</v>
      </c>
      <c r="JC54" s="85" t="s">
        <v>361</v>
      </c>
      <c r="JD54" s="12" t="s">
        <v>350</v>
      </c>
      <c r="JE54" s="12" t="s">
        <v>350</v>
      </c>
      <c r="JF54" s="12">
        <v>4</v>
      </c>
      <c r="JG54" s="12">
        <v>4</v>
      </c>
      <c r="JH54" s="12">
        <v>5</v>
      </c>
      <c r="JI54" s="12">
        <v>5</v>
      </c>
      <c r="JJ54" s="13" t="s">
        <v>350</v>
      </c>
      <c r="JK54" s="13" t="s">
        <v>619</v>
      </c>
      <c r="JL54" s="13" t="s">
        <v>297</v>
      </c>
      <c r="JM54" s="89"/>
      <c r="JN54" s="89"/>
      <c r="JO54" s="89" t="s">
        <v>296</v>
      </c>
      <c r="JP54" s="89"/>
      <c r="JQ54" s="89"/>
      <c r="JR54" s="89" t="s">
        <v>297</v>
      </c>
      <c r="JS54" s="89" t="s">
        <v>350</v>
      </c>
      <c r="JT54" s="89" t="s">
        <v>620</v>
      </c>
      <c r="JU54" s="89" t="s">
        <v>296</v>
      </c>
      <c r="JV54" s="89"/>
      <c r="JW54" s="89"/>
      <c r="JX54" s="89" t="s">
        <v>297</v>
      </c>
      <c r="JY54" s="12" t="s">
        <v>34</v>
      </c>
      <c r="JZ54" s="12" t="s">
        <v>34</v>
      </c>
      <c r="KA54" s="12" t="s">
        <v>34</v>
      </c>
      <c r="KB54" s="12" t="s">
        <v>34</v>
      </c>
      <c r="KC54" s="12" t="s">
        <v>34</v>
      </c>
      <c r="KD54" s="12" t="s">
        <v>34</v>
      </c>
      <c r="KE54" s="12" t="s">
        <v>34</v>
      </c>
      <c r="KF54" s="12"/>
      <c r="KG54" s="12" t="s">
        <v>34</v>
      </c>
      <c r="KH54" s="12" t="s">
        <v>34</v>
      </c>
      <c r="KI54" s="12" t="s">
        <v>34</v>
      </c>
      <c r="KJ54" s="12" t="s">
        <v>34</v>
      </c>
      <c r="KK54" s="12" t="s">
        <v>34</v>
      </c>
      <c r="KL54" s="12" t="s">
        <v>34</v>
      </c>
      <c r="KM54" s="12" t="s">
        <v>34</v>
      </c>
      <c r="KN54" s="12" t="s">
        <v>34</v>
      </c>
      <c r="KO54" s="12" t="s">
        <v>34</v>
      </c>
      <c r="KP54" s="12" t="s">
        <v>34</v>
      </c>
      <c r="KQ54" s="12" t="s">
        <v>34</v>
      </c>
      <c r="KR54" s="12" t="s">
        <v>34</v>
      </c>
      <c r="KS54" s="12" t="s">
        <v>34</v>
      </c>
      <c r="KT54" s="12" t="s">
        <v>34</v>
      </c>
      <c r="KU54" s="12" t="s">
        <v>34</v>
      </c>
      <c r="KV54" s="12" t="s">
        <v>34</v>
      </c>
      <c r="KW54" s="12" t="s">
        <v>34</v>
      </c>
      <c r="KX54" s="12" t="s">
        <v>34</v>
      </c>
      <c r="KY54" s="12" t="s">
        <v>34</v>
      </c>
      <c r="KZ54" s="12" t="s">
        <v>34</v>
      </c>
      <c r="LA54" s="12" t="s">
        <v>34</v>
      </c>
      <c r="LB54" s="12" t="s">
        <v>34</v>
      </c>
      <c r="LC54" s="12" t="s">
        <v>34</v>
      </c>
      <c r="LD54" s="12" t="s">
        <v>34</v>
      </c>
      <c r="LE54" s="12" t="s">
        <v>34</v>
      </c>
      <c r="LF54" s="12" t="s">
        <v>34</v>
      </c>
      <c r="LG54" s="12" t="s">
        <v>34</v>
      </c>
      <c r="LH54" s="12" t="s">
        <v>34</v>
      </c>
      <c r="LI54" s="12" t="s">
        <v>34</v>
      </c>
      <c r="LJ54" s="12" t="s">
        <v>34</v>
      </c>
      <c r="LK54" s="12" t="s">
        <v>34</v>
      </c>
      <c r="LL54" s="13" t="s">
        <v>34</v>
      </c>
      <c r="LM54" s="13" t="s">
        <v>34</v>
      </c>
      <c r="LN54" s="13" t="s">
        <v>34</v>
      </c>
      <c r="LO54" s="13" t="s">
        <v>34</v>
      </c>
      <c r="LP54" s="90" t="s">
        <v>619</v>
      </c>
      <c r="LQ54" s="13" t="s">
        <v>34</v>
      </c>
      <c r="LR54" s="13" t="s">
        <v>34</v>
      </c>
      <c r="LS54" s="13"/>
      <c r="LT54" s="13" t="s">
        <v>34</v>
      </c>
      <c r="LU54" s="13" t="s">
        <v>34</v>
      </c>
      <c r="LV54" s="13" t="s">
        <v>34</v>
      </c>
      <c r="LW54" s="13" t="s">
        <v>34</v>
      </c>
      <c r="LX54" s="13" t="s">
        <v>34</v>
      </c>
      <c r="LY54" s="13" t="s">
        <v>34</v>
      </c>
      <c r="LZ54" s="13" t="s">
        <v>34</v>
      </c>
      <c r="MA54" s="13" t="s">
        <v>619</v>
      </c>
      <c r="MB54" s="13" t="s">
        <v>619</v>
      </c>
      <c r="MC54" s="13" t="s">
        <v>34</v>
      </c>
      <c r="MD54" s="13" t="s">
        <v>619</v>
      </c>
      <c r="ME54" s="13" t="s">
        <v>619</v>
      </c>
      <c r="MF54" s="13" t="s">
        <v>34</v>
      </c>
      <c r="MG54" s="13" t="s">
        <v>34</v>
      </c>
      <c r="MH54" s="13" t="s">
        <v>34</v>
      </c>
      <c r="MI54" s="13" t="s">
        <v>34</v>
      </c>
      <c r="MJ54" s="13" t="s">
        <v>34</v>
      </c>
      <c r="MK54" s="13" t="s">
        <v>34</v>
      </c>
      <c r="ML54" s="13" t="s">
        <v>34</v>
      </c>
      <c r="MM54" s="13" t="s">
        <v>34</v>
      </c>
      <c r="MN54" s="13" t="s">
        <v>34</v>
      </c>
      <c r="MO54" s="13" t="s">
        <v>619</v>
      </c>
      <c r="MP54" s="13" t="s">
        <v>34</v>
      </c>
      <c r="MQ54" s="13" t="s">
        <v>619</v>
      </c>
      <c r="MR54" s="13" t="s">
        <v>34</v>
      </c>
      <c r="MS54" s="13" t="s">
        <v>34</v>
      </c>
      <c r="MT54" s="13" t="s">
        <v>34</v>
      </c>
      <c r="MU54" s="13" t="s">
        <v>34</v>
      </c>
      <c r="MV54" s="13" t="s">
        <v>34</v>
      </c>
      <c r="MW54" s="13" t="s">
        <v>34</v>
      </c>
      <c r="MX54" s="13" t="s">
        <v>34</v>
      </c>
      <c r="MY54" s="28" t="s">
        <v>296</v>
      </c>
      <c r="MZ54" s="28" t="s">
        <v>297</v>
      </c>
      <c r="NA54" s="28" t="s">
        <v>297</v>
      </c>
      <c r="NB54" s="28" t="s">
        <v>296</v>
      </c>
      <c r="NC54" s="28" t="s">
        <v>297</v>
      </c>
      <c r="ND54" s="28" t="s">
        <v>297</v>
      </c>
      <c r="NE54" s="28" t="s">
        <v>297</v>
      </c>
      <c r="NF54" s="28" t="s">
        <v>297</v>
      </c>
      <c r="NG54" s="28" t="s">
        <v>297</v>
      </c>
      <c r="NH54" s="28" t="s">
        <v>297</v>
      </c>
      <c r="NI54" s="177" t="s">
        <v>297</v>
      </c>
      <c r="NJ54" s="177" t="s">
        <v>297</v>
      </c>
      <c r="NK54" s="177" t="s">
        <v>297</v>
      </c>
      <c r="NL54" s="177" t="s">
        <v>297</v>
      </c>
      <c r="NM54" s="177" t="s">
        <v>296</v>
      </c>
      <c r="NN54" s="177" t="s">
        <v>296</v>
      </c>
      <c r="NO54" s="177" t="s">
        <v>296</v>
      </c>
      <c r="NP54" s="177" t="s">
        <v>297</v>
      </c>
      <c r="NQ54" s="177" t="s">
        <v>297</v>
      </c>
      <c r="NR54" s="12" t="s">
        <v>34</v>
      </c>
      <c r="NS54" s="13" t="s">
        <v>34</v>
      </c>
    </row>
    <row r="55" spans="1:383" x14ac:dyDescent="0.25">
      <c r="A55" s="8" t="s">
        <v>150</v>
      </c>
      <c r="B55" s="9" t="s">
        <v>151</v>
      </c>
      <c r="C55" s="9">
        <v>52</v>
      </c>
      <c r="D55" s="9" t="s">
        <v>133</v>
      </c>
      <c r="E55" s="10">
        <v>70</v>
      </c>
      <c r="F55" s="10">
        <v>73</v>
      </c>
      <c r="G55" s="10">
        <v>58</v>
      </c>
      <c r="H55" s="10">
        <v>45</v>
      </c>
      <c r="I55" s="10">
        <v>45</v>
      </c>
      <c r="J55" s="11">
        <v>241</v>
      </c>
      <c r="K55" s="11">
        <v>253</v>
      </c>
      <c r="L55" s="11">
        <v>203</v>
      </c>
      <c r="M55" s="11">
        <v>185</v>
      </c>
      <c r="N55" s="11">
        <v>153</v>
      </c>
      <c r="O55" s="13">
        <v>4877</v>
      </c>
      <c r="P55" s="13">
        <v>4825</v>
      </c>
      <c r="Q55" s="13">
        <v>4366</v>
      </c>
      <c r="R55" s="13">
        <v>3935</v>
      </c>
      <c r="S55" s="13">
        <v>3392</v>
      </c>
      <c r="T55" s="12">
        <v>175</v>
      </c>
      <c r="U55" s="12">
        <v>135</v>
      </c>
      <c r="V55" s="12">
        <v>105</v>
      </c>
      <c r="W55" s="12">
        <v>60</v>
      </c>
      <c r="X55" s="12">
        <v>29</v>
      </c>
      <c r="Y55" s="12">
        <v>5.82</v>
      </c>
      <c r="Z55" s="12">
        <v>5.82</v>
      </c>
      <c r="AA55" s="12">
        <v>5.82</v>
      </c>
      <c r="AB55" s="13">
        <v>5.32</v>
      </c>
      <c r="AC55" s="13">
        <v>5.32</v>
      </c>
      <c r="AD55" s="13">
        <v>5.32</v>
      </c>
      <c r="AE55" s="35" t="s">
        <v>259</v>
      </c>
      <c r="AF55" s="35" t="s">
        <v>259</v>
      </c>
      <c r="AG55" s="35" t="s">
        <v>259</v>
      </c>
      <c r="AH55" s="38">
        <v>1</v>
      </c>
      <c r="AI55" s="38">
        <v>1</v>
      </c>
      <c r="AJ55" s="38">
        <v>1</v>
      </c>
      <c r="AK55" s="45" t="s">
        <v>34</v>
      </c>
      <c r="AL55" s="45" t="s">
        <v>34</v>
      </c>
      <c r="AM55" s="45" t="s">
        <v>34</v>
      </c>
      <c r="AN55" s="45" t="s">
        <v>34</v>
      </c>
      <c r="AO55" s="45" t="s">
        <v>34</v>
      </c>
      <c r="AP55" s="45" t="s">
        <v>34</v>
      </c>
      <c r="AQ55" s="53" t="s">
        <v>296</v>
      </c>
      <c r="AR55" s="56">
        <v>56</v>
      </c>
      <c r="AS55" s="57">
        <v>10</v>
      </c>
      <c r="AT55" s="56">
        <v>25</v>
      </c>
      <c r="AU55" s="57">
        <v>8550</v>
      </c>
      <c r="AV55" s="57">
        <v>1836</v>
      </c>
      <c r="AW55" s="57">
        <v>2462</v>
      </c>
      <c r="AX55" s="57">
        <v>13</v>
      </c>
      <c r="AY55" s="57">
        <v>10</v>
      </c>
      <c r="AZ55" s="57">
        <v>1</v>
      </c>
      <c r="BA55" s="57">
        <v>111</v>
      </c>
      <c r="BB55" s="57">
        <v>1943</v>
      </c>
      <c r="BC55" s="57">
        <v>1460</v>
      </c>
      <c r="BD55" s="57">
        <v>0</v>
      </c>
      <c r="BE55" s="57">
        <v>968</v>
      </c>
      <c r="BF55" s="57">
        <v>778</v>
      </c>
      <c r="BG55" s="57">
        <v>78</v>
      </c>
      <c r="BH55" s="57">
        <v>819</v>
      </c>
      <c r="BI55" s="57">
        <v>1359</v>
      </c>
      <c r="BJ55" s="57" t="s">
        <v>296</v>
      </c>
      <c r="BK55" s="57">
        <v>23</v>
      </c>
      <c r="BL55" s="57">
        <v>0</v>
      </c>
      <c r="BM55" s="57">
        <v>0</v>
      </c>
      <c r="BN55" s="57">
        <v>82</v>
      </c>
      <c r="BO55" s="57">
        <v>1800</v>
      </c>
      <c r="BP55" s="57">
        <v>600</v>
      </c>
      <c r="BQ55" s="76">
        <v>229</v>
      </c>
      <c r="BR55" s="76">
        <v>229</v>
      </c>
      <c r="BS55">
        <v>219</v>
      </c>
      <c r="BT55">
        <v>219</v>
      </c>
      <c r="BU55">
        <v>219</v>
      </c>
      <c r="BV55">
        <v>21612</v>
      </c>
      <c r="BW55">
        <v>21027</v>
      </c>
      <c r="BX55">
        <v>20615</v>
      </c>
      <c r="BY55">
        <v>20213</v>
      </c>
      <c r="BZ55">
        <v>19599</v>
      </c>
      <c r="CA55">
        <v>66</v>
      </c>
      <c r="CB55">
        <v>73</v>
      </c>
      <c r="CC55">
        <v>60</v>
      </c>
      <c r="CD55">
        <v>45</v>
      </c>
      <c r="CE55">
        <v>45</v>
      </c>
      <c r="CF55">
        <v>5052</v>
      </c>
      <c r="CG55">
        <v>4960</v>
      </c>
      <c r="CH55">
        <v>4471</v>
      </c>
      <c r="CI55">
        <v>3995</v>
      </c>
      <c r="CJ55">
        <v>3421</v>
      </c>
      <c r="CK55" s="10">
        <v>68</v>
      </c>
      <c r="CL55" s="10">
        <v>68.099999999999994</v>
      </c>
      <c r="CM55" s="10">
        <v>68</v>
      </c>
      <c r="CN55" s="11">
        <v>16.73</v>
      </c>
      <c r="CO55" s="11">
        <v>16.73</v>
      </c>
      <c r="CP55" s="11">
        <v>16.73</v>
      </c>
      <c r="CQ55" s="13">
        <v>9</v>
      </c>
      <c r="CR55" s="13">
        <v>2</v>
      </c>
      <c r="CS55" s="13">
        <v>0</v>
      </c>
      <c r="CT55" s="10">
        <v>0</v>
      </c>
      <c r="CU55" s="10">
        <v>0</v>
      </c>
      <c r="CV55" s="10">
        <v>2</v>
      </c>
      <c r="CW55" s="10">
        <v>2</v>
      </c>
      <c r="CX55" s="10">
        <v>3</v>
      </c>
      <c r="CY55" s="10">
        <v>0</v>
      </c>
      <c r="CZ55" s="10">
        <v>0</v>
      </c>
      <c r="DA55" s="10">
        <v>0</v>
      </c>
      <c r="DB55" s="10">
        <v>0</v>
      </c>
      <c r="DC55" s="10">
        <v>0</v>
      </c>
      <c r="DD55" s="10">
        <v>0</v>
      </c>
      <c r="DE55" s="10">
        <v>0</v>
      </c>
      <c r="DF55" s="10">
        <v>1</v>
      </c>
      <c r="DG55" s="10">
        <v>0</v>
      </c>
      <c r="DH55" s="10">
        <v>1</v>
      </c>
      <c r="DI55" s="81">
        <v>0</v>
      </c>
      <c r="DJ55" s="81">
        <v>0</v>
      </c>
      <c r="DK55" s="81">
        <v>0</v>
      </c>
      <c r="DL55" s="81">
        <v>0</v>
      </c>
      <c r="DM55" s="81">
        <v>0</v>
      </c>
      <c r="DN55" s="12">
        <v>0</v>
      </c>
      <c r="DO55" s="12">
        <v>0</v>
      </c>
      <c r="DP55" s="12">
        <v>0</v>
      </c>
      <c r="DQ55" s="12">
        <v>1</v>
      </c>
      <c r="DR55" s="12">
        <v>0</v>
      </c>
      <c r="DS55" s="12">
        <v>0</v>
      </c>
      <c r="DT55" s="12">
        <v>0</v>
      </c>
      <c r="DU55" s="12">
        <v>0</v>
      </c>
      <c r="DV55" s="12">
        <v>1</v>
      </c>
      <c r="DW55" s="12">
        <v>0</v>
      </c>
      <c r="DX55" s="12">
        <v>0</v>
      </c>
      <c r="DY55" s="12">
        <v>0</v>
      </c>
      <c r="DZ55" s="12">
        <v>1</v>
      </c>
      <c r="EA55" s="12">
        <v>0</v>
      </c>
      <c r="EB55" s="12">
        <v>0</v>
      </c>
      <c r="EC55" s="12">
        <v>0</v>
      </c>
      <c r="ED55" s="12">
        <v>0</v>
      </c>
      <c r="EE55" s="12">
        <v>2</v>
      </c>
      <c r="EF55" s="12">
        <v>2</v>
      </c>
      <c r="EG55" s="12">
        <v>0</v>
      </c>
      <c r="EH55" s="12">
        <v>0</v>
      </c>
      <c r="EI55" s="12">
        <v>0</v>
      </c>
      <c r="EJ55" s="12">
        <v>0</v>
      </c>
      <c r="EK55" s="12">
        <v>0</v>
      </c>
      <c r="EL55" s="12">
        <v>0</v>
      </c>
      <c r="EM55" s="12">
        <v>0</v>
      </c>
      <c r="EN55" s="12">
        <v>0</v>
      </c>
      <c r="EO55" s="12">
        <v>0</v>
      </c>
      <c r="EP55" s="12">
        <v>0</v>
      </c>
      <c r="EQ55" s="12">
        <v>0</v>
      </c>
      <c r="ER55" s="12">
        <v>2</v>
      </c>
      <c r="ES55" s="13">
        <v>0</v>
      </c>
      <c r="ET55" s="13">
        <v>7</v>
      </c>
      <c r="EU55" s="13">
        <v>0</v>
      </c>
      <c r="EV55" s="10">
        <v>0</v>
      </c>
      <c r="EW55" s="10">
        <v>0</v>
      </c>
      <c r="EX55" s="10">
        <v>0</v>
      </c>
      <c r="EY55" s="10">
        <v>0</v>
      </c>
      <c r="EZ55" s="10">
        <v>0</v>
      </c>
      <c r="FA55" s="10">
        <v>0</v>
      </c>
      <c r="FB55" s="10">
        <v>0</v>
      </c>
      <c r="FC55" s="10">
        <v>0</v>
      </c>
      <c r="FD55" s="10">
        <v>0</v>
      </c>
      <c r="FE55" s="10">
        <v>0</v>
      </c>
      <c r="FF55" s="10">
        <v>0</v>
      </c>
      <c r="FG55" s="10">
        <v>0</v>
      </c>
      <c r="FH55" s="10">
        <v>0</v>
      </c>
      <c r="FI55" s="10">
        <v>0</v>
      </c>
      <c r="FJ55" s="10">
        <v>0</v>
      </c>
      <c r="FK55" s="81">
        <v>0</v>
      </c>
      <c r="FL55" s="81">
        <v>0</v>
      </c>
      <c r="FM55" s="81">
        <v>0</v>
      </c>
      <c r="FN55" s="81">
        <v>0</v>
      </c>
      <c r="FO55" s="81">
        <v>0</v>
      </c>
      <c r="FP55" s="12">
        <v>0</v>
      </c>
      <c r="FQ55" s="12">
        <v>0</v>
      </c>
      <c r="FR55" s="12">
        <v>0</v>
      </c>
      <c r="FS55" s="12">
        <v>0</v>
      </c>
      <c r="FT55" s="12">
        <v>0</v>
      </c>
      <c r="FU55" s="12">
        <v>0</v>
      </c>
      <c r="FV55" s="12">
        <v>0</v>
      </c>
      <c r="FW55" s="12">
        <v>0</v>
      </c>
      <c r="FX55" s="12">
        <v>0</v>
      </c>
      <c r="FY55" s="12">
        <v>0</v>
      </c>
      <c r="FZ55" s="12">
        <v>0</v>
      </c>
      <c r="GA55" s="12">
        <v>2</v>
      </c>
      <c r="GB55" s="12">
        <v>0</v>
      </c>
      <c r="GC55" s="12">
        <v>0</v>
      </c>
      <c r="GD55" s="12">
        <v>0</v>
      </c>
      <c r="GE55" s="12">
        <v>0</v>
      </c>
      <c r="GF55" s="12">
        <v>0</v>
      </c>
      <c r="GG55" s="12">
        <v>1</v>
      </c>
      <c r="GH55" s="12">
        <v>2</v>
      </c>
      <c r="GI55" s="12">
        <v>0</v>
      </c>
      <c r="GJ55" s="12">
        <v>0</v>
      </c>
      <c r="GK55" s="12">
        <v>0</v>
      </c>
      <c r="GL55" s="12">
        <v>0</v>
      </c>
      <c r="GM55" s="12">
        <v>0</v>
      </c>
      <c r="GN55" s="12">
        <v>0</v>
      </c>
      <c r="GO55" s="12">
        <v>0</v>
      </c>
      <c r="GP55" s="12">
        <v>0</v>
      </c>
      <c r="GQ55" s="12">
        <v>1</v>
      </c>
      <c r="GR55" s="12">
        <v>0</v>
      </c>
      <c r="GS55" s="12">
        <v>0</v>
      </c>
      <c r="GT55" s="12">
        <v>0</v>
      </c>
      <c r="GU55" s="13">
        <v>10</v>
      </c>
      <c r="GV55" s="13">
        <v>5</v>
      </c>
      <c r="GW55" s="13">
        <v>8</v>
      </c>
      <c r="GX55" s="13">
        <v>0</v>
      </c>
      <c r="GY55" s="10">
        <v>0</v>
      </c>
      <c r="GZ55" s="10">
        <v>0</v>
      </c>
      <c r="HA55" s="10">
        <v>2</v>
      </c>
      <c r="HB55" s="10">
        <v>1</v>
      </c>
      <c r="HC55" s="10">
        <v>3</v>
      </c>
      <c r="HD55" s="10">
        <v>0</v>
      </c>
      <c r="HE55" s="10">
        <v>0</v>
      </c>
      <c r="HF55" s="10">
        <v>0</v>
      </c>
      <c r="HG55" s="10">
        <v>0</v>
      </c>
      <c r="HH55" s="10">
        <v>0</v>
      </c>
      <c r="HI55" s="10">
        <v>0</v>
      </c>
      <c r="HJ55" s="10">
        <v>0</v>
      </c>
      <c r="HK55" s="10">
        <v>1</v>
      </c>
      <c r="HL55" s="10">
        <v>0</v>
      </c>
      <c r="HM55" s="10">
        <v>0</v>
      </c>
      <c r="HN55" s="81">
        <v>0</v>
      </c>
      <c r="HO55" s="81">
        <v>0</v>
      </c>
      <c r="HP55" s="81">
        <v>0</v>
      </c>
      <c r="HQ55" s="81">
        <v>0</v>
      </c>
      <c r="HR55" s="81">
        <v>0</v>
      </c>
      <c r="HS55" s="12">
        <v>1</v>
      </c>
      <c r="HT55" s="12">
        <v>0</v>
      </c>
      <c r="HU55" s="12">
        <v>0</v>
      </c>
      <c r="HV55" s="12">
        <v>1</v>
      </c>
      <c r="HW55" s="12">
        <v>0</v>
      </c>
      <c r="HX55" s="12">
        <v>0</v>
      </c>
      <c r="HY55" s="12">
        <v>0</v>
      </c>
      <c r="HZ55" s="12">
        <v>0</v>
      </c>
      <c r="IA55" s="12">
        <v>0</v>
      </c>
      <c r="IB55" s="12">
        <v>0</v>
      </c>
      <c r="IC55" s="12">
        <v>0</v>
      </c>
      <c r="ID55" s="12">
        <v>0</v>
      </c>
      <c r="IE55" s="12">
        <v>0</v>
      </c>
      <c r="IF55" s="12">
        <v>0</v>
      </c>
      <c r="IG55" s="12">
        <v>0</v>
      </c>
      <c r="IH55" s="12">
        <v>0</v>
      </c>
      <c r="II55" s="12">
        <v>0</v>
      </c>
      <c r="IJ55" s="12">
        <v>0</v>
      </c>
      <c r="IK55" s="12">
        <v>0</v>
      </c>
      <c r="IL55" s="12">
        <v>0</v>
      </c>
      <c r="IM55" s="12">
        <v>0</v>
      </c>
      <c r="IN55" s="12">
        <v>0</v>
      </c>
      <c r="IO55" s="12">
        <v>0</v>
      </c>
      <c r="IP55" s="12">
        <v>0</v>
      </c>
      <c r="IQ55" s="12">
        <v>0</v>
      </c>
      <c r="IR55" s="12">
        <v>0</v>
      </c>
      <c r="IS55" s="12">
        <v>0</v>
      </c>
      <c r="IT55" s="12">
        <v>0</v>
      </c>
      <c r="IU55" s="12">
        <v>0</v>
      </c>
      <c r="IV55" s="12">
        <v>0</v>
      </c>
      <c r="IW55" s="12">
        <v>0</v>
      </c>
      <c r="IX55" s="11">
        <v>17670</v>
      </c>
      <c r="IY55" s="11">
        <v>17185</v>
      </c>
      <c r="IZ55" s="11">
        <v>17300</v>
      </c>
      <c r="JA55" s="85">
        <v>1</v>
      </c>
      <c r="JB55" s="85">
        <v>0</v>
      </c>
      <c r="JC55" s="85">
        <v>0</v>
      </c>
      <c r="JD55" s="12">
        <v>5</v>
      </c>
      <c r="JE55" s="12">
        <v>5</v>
      </c>
      <c r="JF55" s="12">
        <v>5</v>
      </c>
      <c r="JG55" s="12">
        <v>5</v>
      </c>
      <c r="JH55" s="12">
        <v>5</v>
      </c>
      <c r="JI55" s="12">
        <v>5</v>
      </c>
      <c r="JJ55" s="13" t="s">
        <v>619</v>
      </c>
      <c r="JK55" s="13" t="s">
        <v>619</v>
      </c>
      <c r="JL55" s="13" t="s">
        <v>297</v>
      </c>
      <c r="JM55" s="89"/>
      <c r="JN55" s="89"/>
      <c r="JO55" s="89" t="s">
        <v>296</v>
      </c>
      <c r="JP55" s="89"/>
      <c r="JQ55" s="89"/>
      <c r="JR55" s="89" t="s">
        <v>296</v>
      </c>
      <c r="JS55" s="89" t="s">
        <v>619</v>
      </c>
      <c r="JT55" s="89" t="s">
        <v>619</v>
      </c>
      <c r="JU55" s="89" t="s">
        <v>296</v>
      </c>
      <c r="JV55" s="89"/>
      <c r="JW55" s="89"/>
      <c r="JX55" s="89" t="s">
        <v>297</v>
      </c>
      <c r="JY55" s="12" t="s">
        <v>34</v>
      </c>
      <c r="JZ55" s="12" t="s">
        <v>34</v>
      </c>
      <c r="KA55" s="12" t="s">
        <v>34</v>
      </c>
      <c r="KB55" s="12" t="s">
        <v>34</v>
      </c>
      <c r="KC55" s="12" t="s">
        <v>34</v>
      </c>
      <c r="KD55" s="12" t="s">
        <v>34</v>
      </c>
      <c r="KE55" s="12" t="s">
        <v>34</v>
      </c>
      <c r="KF55" s="12"/>
      <c r="KG55" s="12" t="s">
        <v>34</v>
      </c>
      <c r="KH55" s="12" t="s">
        <v>34</v>
      </c>
      <c r="KI55" s="12" t="s">
        <v>34</v>
      </c>
      <c r="KJ55" s="12" t="s">
        <v>34</v>
      </c>
      <c r="KK55" s="12" t="s">
        <v>34</v>
      </c>
      <c r="KL55" s="12" t="s">
        <v>34</v>
      </c>
      <c r="KM55" s="12" t="s">
        <v>34</v>
      </c>
      <c r="KN55" s="12" t="s">
        <v>619</v>
      </c>
      <c r="KO55" s="12" t="s">
        <v>34</v>
      </c>
      <c r="KP55" s="12" t="s">
        <v>34</v>
      </c>
      <c r="KQ55" s="12" t="s">
        <v>619</v>
      </c>
      <c r="KR55" s="12" t="s">
        <v>34</v>
      </c>
      <c r="KS55" s="12" t="s">
        <v>34</v>
      </c>
      <c r="KT55" s="12" t="s">
        <v>34</v>
      </c>
      <c r="KU55" s="12" t="s">
        <v>34</v>
      </c>
      <c r="KV55" s="12" t="s">
        <v>34</v>
      </c>
      <c r="KW55" s="12" t="s">
        <v>34</v>
      </c>
      <c r="KX55" s="12" t="s">
        <v>34</v>
      </c>
      <c r="KY55" s="12" t="s">
        <v>34</v>
      </c>
      <c r="KZ55" s="12" t="s">
        <v>34</v>
      </c>
      <c r="LA55" s="12" t="s">
        <v>34</v>
      </c>
      <c r="LB55" s="12" t="s">
        <v>34</v>
      </c>
      <c r="LC55" s="12" t="s">
        <v>34</v>
      </c>
      <c r="LD55" s="12" t="s">
        <v>34</v>
      </c>
      <c r="LE55" s="12" t="s">
        <v>34</v>
      </c>
      <c r="LF55" s="12" t="s">
        <v>34</v>
      </c>
      <c r="LG55" s="12" t="s">
        <v>34</v>
      </c>
      <c r="LH55" s="12" t="s">
        <v>34</v>
      </c>
      <c r="LI55" s="12" t="s">
        <v>34</v>
      </c>
      <c r="LJ55" s="12" t="s">
        <v>34</v>
      </c>
      <c r="LK55" s="12" t="s">
        <v>619</v>
      </c>
      <c r="LL55" s="13" t="s">
        <v>34</v>
      </c>
      <c r="LM55" s="13" t="s">
        <v>34</v>
      </c>
      <c r="LN55" s="13" t="s">
        <v>34</v>
      </c>
      <c r="LO55" s="13" t="s">
        <v>34</v>
      </c>
      <c r="LP55" s="90" t="s">
        <v>34</v>
      </c>
      <c r="LQ55" s="13" t="s">
        <v>34</v>
      </c>
      <c r="LR55" s="13" t="s">
        <v>34</v>
      </c>
      <c r="LS55" s="13"/>
      <c r="LT55" s="13" t="s">
        <v>34</v>
      </c>
      <c r="LU55" s="13" t="s">
        <v>34</v>
      </c>
      <c r="LV55" s="13" t="s">
        <v>34</v>
      </c>
      <c r="LW55" s="13" t="s">
        <v>34</v>
      </c>
      <c r="LX55" s="13" t="s">
        <v>34</v>
      </c>
      <c r="LY55" s="13" t="s">
        <v>34</v>
      </c>
      <c r="LZ55" s="13" t="s">
        <v>34</v>
      </c>
      <c r="MA55" s="13" t="s">
        <v>619</v>
      </c>
      <c r="MB55" s="13" t="s">
        <v>34</v>
      </c>
      <c r="MC55" s="13" t="s">
        <v>34</v>
      </c>
      <c r="MD55" s="13" t="s">
        <v>34</v>
      </c>
      <c r="ME55" s="13" t="s">
        <v>34</v>
      </c>
      <c r="MF55" s="13" t="s">
        <v>34</v>
      </c>
      <c r="MG55" s="13" t="s">
        <v>34</v>
      </c>
      <c r="MH55" s="13" t="s">
        <v>34</v>
      </c>
      <c r="MI55" s="13" t="s">
        <v>34</v>
      </c>
      <c r="MJ55" s="13" t="s">
        <v>34</v>
      </c>
      <c r="MK55" s="13" t="s">
        <v>34</v>
      </c>
      <c r="ML55" s="13" t="s">
        <v>619</v>
      </c>
      <c r="MM55" s="13" t="s">
        <v>34</v>
      </c>
      <c r="MN55" s="13" t="s">
        <v>34</v>
      </c>
      <c r="MO55" s="13" t="s">
        <v>619</v>
      </c>
      <c r="MP55" s="13" t="s">
        <v>34</v>
      </c>
      <c r="MQ55" s="13" t="s">
        <v>34</v>
      </c>
      <c r="MR55" s="13" t="s">
        <v>34</v>
      </c>
      <c r="MS55" s="13" t="s">
        <v>34</v>
      </c>
      <c r="MT55" s="13" t="s">
        <v>34</v>
      </c>
      <c r="MU55" s="13" t="s">
        <v>34</v>
      </c>
      <c r="MV55" s="13" t="s">
        <v>34</v>
      </c>
      <c r="MW55" s="13" t="s">
        <v>34</v>
      </c>
      <c r="MX55" s="13" t="s">
        <v>34</v>
      </c>
      <c r="MY55" s="28" t="s">
        <v>297</v>
      </c>
      <c r="MZ55" s="28" t="s">
        <v>296</v>
      </c>
      <c r="NA55" s="28" t="s">
        <v>296</v>
      </c>
      <c r="NB55" s="28" t="s">
        <v>296</v>
      </c>
      <c r="NC55" s="28" t="s">
        <v>296</v>
      </c>
      <c r="ND55" s="28" t="s">
        <v>297</v>
      </c>
      <c r="NE55" s="28" t="s">
        <v>296</v>
      </c>
      <c r="NF55" s="28" t="s">
        <v>297</v>
      </c>
      <c r="NG55" s="28" t="s">
        <v>297</v>
      </c>
      <c r="NH55" s="28" t="s">
        <v>297</v>
      </c>
      <c r="NI55" s="177" t="s">
        <v>296</v>
      </c>
      <c r="NJ55" s="177" t="s">
        <v>297</v>
      </c>
      <c r="NK55" s="177" t="s">
        <v>296</v>
      </c>
      <c r="NL55" s="177" t="s">
        <v>297</v>
      </c>
      <c r="NM55" s="177" t="s">
        <v>296</v>
      </c>
      <c r="NN55" s="177" t="s">
        <v>296</v>
      </c>
      <c r="NO55" s="177" t="s">
        <v>296</v>
      </c>
      <c r="NP55" s="177" t="s">
        <v>296</v>
      </c>
      <c r="NQ55" s="177" t="s">
        <v>296</v>
      </c>
      <c r="NR55" s="12" t="s">
        <v>34</v>
      </c>
      <c r="NS55" s="13" t="s">
        <v>34</v>
      </c>
    </row>
    <row r="56" spans="1:383" x14ac:dyDescent="0.25">
      <c r="A56" s="8" t="s">
        <v>152</v>
      </c>
      <c r="B56" s="9" t="s">
        <v>153</v>
      </c>
      <c r="C56" s="9">
        <v>44</v>
      </c>
      <c r="D56" s="9" t="s">
        <v>51</v>
      </c>
      <c r="E56" s="10">
        <v>82</v>
      </c>
      <c r="F56" s="10">
        <v>83</v>
      </c>
      <c r="G56" s="10">
        <v>84</v>
      </c>
      <c r="H56" s="10">
        <v>72</v>
      </c>
      <c r="I56" s="10">
        <v>44</v>
      </c>
      <c r="J56" s="11">
        <v>364</v>
      </c>
      <c r="K56" s="11">
        <v>377</v>
      </c>
      <c r="L56" s="11">
        <v>362</v>
      </c>
      <c r="M56" s="11">
        <v>328</v>
      </c>
      <c r="N56" s="11">
        <v>219</v>
      </c>
      <c r="O56" s="13">
        <v>8669</v>
      </c>
      <c r="P56" s="13">
        <v>9046</v>
      </c>
      <c r="Q56" s="13">
        <v>9067</v>
      </c>
      <c r="R56" s="13">
        <v>7580</v>
      </c>
      <c r="S56" s="13">
        <v>4744</v>
      </c>
      <c r="T56" s="12">
        <v>1672</v>
      </c>
      <c r="U56" s="12">
        <v>1954</v>
      </c>
      <c r="V56" s="12">
        <v>2056</v>
      </c>
      <c r="W56" s="12">
        <v>2014</v>
      </c>
      <c r="X56" s="12">
        <v>886</v>
      </c>
      <c r="Y56" s="12">
        <v>5.9</v>
      </c>
      <c r="Z56" s="12">
        <v>5.9</v>
      </c>
      <c r="AA56" s="12">
        <v>5.9</v>
      </c>
      <c r="AB56" s="13">
        <v>5.9</v>
      </c>
      <c r="AC56" s="13">
        <v>5.9</v>
      </c>
      <c r="AD56" s="13">
        <v>5.9</v>
      </c>
      <c r="AE56" s="35" t="s">
        <v>259</v>
      </c>
      <c r="AF56" s="35" t="s">
        <v>259</v>
      </c>
      <c r="AG56" s="35" t="s">
        <v>259</v>
      </c>
      <c r="AH56" s="38">
        <v>0.5</v>
      </c>
      <c r="AI56" s="38">
        <v>1</v>
      </c>
      <c r="AJ56" s="38">
        <v>1</v>
      </c>
      <c r="AK56" s="45" t="s">
        <v>34</v>
      </c>
      <c r="AL56" s="45" t="s">
        <v>34</v>
      </c>
      <c r="AM56" s="45" t="s">
        <v>34</v>
      </c>
      <c r="AN56" s="45" t="s">
        <v>293</v>
      </c>
      <c r="AO56" s="45" t="s">
        <v>34</v>
      </c>
      <c r="AP56" s="45" t="s">
        <v>292</v>
      </c>
      <c r="AQ56" s="53" t="s">
        <v>297</v>
      </c>
      <c r="AR56" s="56">
        <v>269</v>
      </c>
      <c r="AS56" s="57">
        <v>122</v>
      </c>
      <c r="AT56" s="56">
        <v>212</v>
      </c>
      <c r="AU56" s="57">
        <v>40490</v>
      </c>
      <c r="AV56" s="57">
        <v>15164</v>
      </c>
      <c r="AW56" s="57">
        <v>13060</v>
      </c>
      <c r="AX56" s="57">
        <v>5</v>
      </c>
      <c r="AY56" s="57">
        <v>4</v>
      </c>
      <c r="AZ56" s="57">
        <v>2</v>
      </c>
      <c r="BA56" s="57">
        <v>6329</v>
      </c>
      <c r="BB56" s="57">
        <v>11603</v>
      </c>
      <c r="BC56" s="57">
        <v>9087</v>
      </c>
      <c r="BD56" s="57">
        <v>2229</v>
      </c>
      <c r="BE56" s="57">
        <v>3903</v>
      </c>
      <c r="BF56" s="57">
        <v>3278</v>
      </c>
      <c r="BG56" s="57">
        <v>3227</v>
      </c>
      <c r="BH56" s="57">
        <v>4221</v>
      </c>
      <c r="BI56" s="57">
        <v>4667</v>
      </c>
      <c r="BJ56" s="57" t="s">
        <v>297</v>
      </c>
      <c r="BK56" s="57">
        <v>7</v>
      </c>
      <c r="BL56" s="57">
        <v>1</v>
      </c>
      <c r="BM56" s="57">
        <v>0</v>
      </c>
      <c r="BN56" s="57">
        <v>0</v>
      </c>
      <c r="BO56" s="57">
        <v>372</v>
      </c>
      <c r="BP56" s="57">
        <v>0</v>
      </c>
      <c r="BQ56" s="76">
        <v>618</v>
      </c>
      <c r="BR56" s="76">
        <v>607</v>
      </c>
      <c r="BS56">
        <v>581</v>
      </c>
      <c r="BT56">
        <v>581</v>
      </c>
      <c r="BU56">
        <v>578</v>
      </c>
      <c r="BV56">
        <v>64350</v>
      </c>
      <c r="BW56">
        <v>63854</v>
      </c>
      <c r="BX56">
        <v>63037</v>
      </c>
      <c r="BY56">
        <v>62023</v>
      </c>
      <c r="BZ56">
        <v>60968</v>
      </c>
      <c r="CA56">
        <v>126</v>
      </c>
      <c r="CB56">
        <v>130</v>
      </c>
      <c r="CC56">
        <v>130</v>
      </c>
      <c r="CD56">
        <v>107</v>
      </c>
      <c r="CE56">
        <v>61</v>
      </c>
      <c r="CF56">
        <v>10341</v>
      </c>
      <c r="CG56">
        <v>11000</v>
      </c>
      <c r="CH56">
        <v>11123</v>
      </c>
      <c r="CI56">
        <v>9594</v>
      </c>
      <c r="CJ56">
        <v>5630</v>
      </c>
      <c r="CK56" s="10">
        <v>20</v>
      </c>
      <c r="CL56" s="10">
        <v>20</v>
      </c>
      <c r="CM56" s="10">
        <v>20</v>
      </c>
      <c r="CN56" s="11">
        <v>18.600000000000001</v>
      </c>
      <c r="CO56" s="11">
        <v>18.600000000000001</v>
      </c>
      <c r="CP56" s="11">
        <v>18.600000000000001</v>
      </c>
      <c r="CQ56" s="13">
        <v>25</v>
      </c>
      <c r="CR56" s="13">
        <v>8</v>
      </c>
      <c r="CS56" s="13">
        <v>0</v>
      </c>
      <c r="CT56" s="10">
        <v>0</v>
      </c>
      <c r="CU56" s="10">
        <v>0</v>
      </c>
      <c r="CV56" s="10">
        <v>16</v>
      </c>
      <c r="CW56" s="10">
        <v>7</v>
      </c>
      <c r="CX56" s="10">
        <v>3</v>
      </c>
      <c r="CY56" s="10">
        <v>0</v>
      </c>
      <c r="CZ56" s="10">
        <v>0</v>
      </c>
      <c r="DA56" s="10">
        <v>1</v>
      </c>
      <c r="DB56" s="10">
        <v>0</v>
      </c>
      <c r="DC56" s="10">
        <v>0</v>
      </c>
      <c r="DD56" s="10">
        <v>0</v>
      </c>
      <c r="DE56" s="10">
        <v>0</v>
      </c>
      <c r="DF56" s="10">
        <v>11</v>
      </c>
      <c r="DG56" s="10">
        <v>0</v>
      </c>
      <c r="DH56" s="10">
        <v>0</v>
      </c>
      <c r="DI56" s="81">
        <v>0</v>
      </c>
      <c r="DJ56" s="81">
        <v>21</v>
      </c>
      <c r="DK56" s="81">
        <v>2</v>
      </c>
      <c r="DL56" s="81">
        <v>0</v>
      </c>
      <c r="DM56" s="81">
        <v>7</v>
      </c>
      <c r="DN56" s="12">
        <v>1</v>
      </c>
      <c r="DO56" s="12">
        <v>0</v>
      </c>
      <c r="DP56" s="12">
        <v>2</v>
      </c>
      <c r="DQ56" s="12">
        <v>7</v>
      </c>
      <c r="DR56" s="12">
        <v>0</v>
      </c>
      <c r="DS56" s="12">
        <v>0</v>
      </c>
      <c r="DT56" s="12">
        <v>0</v>
      </c>
      <c r="DU56" s="12">
        <v>0</v>
      </c>
      <c r="DV56" s="12">
        <v>6</v>
      </c>
      <c r="DW56" s="12">
        <v>1</v>
      </c>
      <c r="DX56" s="12">
        <v>2</v>
      </c>
      <c r="DY56" s="12">
        <v>1</v>
      </c>
      <c r="DZ56" s="12">
        <v>9</v>
      </c>
      <c r="EA56" s="12">
        <v>0</v>
      </c>
      <c r="EB56" s="12">
        <v>2</v>
      </c>
      <c r="EC56" s="12">
        <v>0</v>
      </c>
      <c r="ED56" s="12">
        <v>8</v>
      </c>
      <c r="EE56" s="12">
        <v>0</v>
      </c>
      <c r="EF56" s="12">
        <v>12</v>
      </c>
      <c r="EG56" s="12">
        <v>1</v>
      </c>
      <c r="EH56" s="12">
        <v>0</v>
      </c>
      <c r="EI56" s="12">
        <v>0</v>
      </c>
      <c r="EJ56" s="12">
        <v>13</v>
      </c>
      <c r="EK56" s="12">
        <v>0</v>
      </c>
      <c r="EL56" s="12">
        <v>8</v>
      </c>
      <c r="EM56" s="12">
        <v>10</v>
      </c>
      <c r="EN56" s="12">
        <v>1</v>
      </c>
      <c r="EO56" s="12">
        <v>1</v>
      </c>
      <c r="EP56" s="12">
        <v>0</v>
      </c>
      <c r="EQ56" s="12">
        <v>4</v>
      </c>
      <c r="ER56" s="12">
        <v>0</v>
      </c>
      <c r="ES56" s="13">
        <v>7</v>
      </c>
      <c r="ET56" s="13">
        <v>1</v>
      </c>
      <c r="EU56" s="13">
        <v>0</v>
      </c>
      <c r="EV56" s="10">
        <v>0</v>
      </c>
      <c r="EW56" s="10">
        <v>0</v>
      </c>
      <c r="EX56" s="10">
        <v>0</v>
      </c>
      <c r="EY56" s="10">
        <v>0</v>
      </c>
      <c r="EZ56" s="10">
        <v>0</v>
      </c>
      <c r="FA56" s="10">
        <v>0</v>
      </c>
      <c r="FB56" s="10">
        <v>0</v>
      </c>
      <c r="FC56" s="10">
        <v>1</v>
      </c>
      <c r="FD56" s="10">
        <v>0</v>
      </c>
      <c r="FE56" s="10">
        <v>0</v>
      </c>
      <c r="FF56" s="10">
        <v>2</v>
      </c>
      <c r="FG56" s="10">
        <v>0</v>
      </c>
      <c r="FH56" s="10">
        <v>7</v>
      </c>
      <c r="FI56" s="10">
        <v>0</v>
      </c>
      <c r="FJ56" s="10">
        <v>0</v>
      </c>
      <c r="FK56" s="81">
        <v>0</v>
      </c>
      <c r="FL56" s="81">
        <v>13</v>
      </c>
      <c r="FM56" s="81">
        <v>2</v>
      </c>
      <c r="FN56" s="81">
        <v>0</v>
      </c>
      <c r="FO56" s="81">
        <v>1</v>
      </c>
      <c r="FP56" s="12">
        <v>2</v>
      </c>
      <c r="FQ56" s="12">
        <v>0</v>
      </c>
      <c r="FR56" s="12">
        <v>2</v>
      </c>
      <c r="FS56" s="12">
        <v>0</v>
      </c>
      <c r="FT56" s="12">
        <v>0</v>
      </c>
      <c r="FU56" s="12">
        <v>0</v>
      </c>
      <c r="FV56" s="12">
        <v>0</v>
      </c>
      <c r="FW56" s="12">
        <v>0</v>
      </c>
      <c r="FX56" s="12">
        <v>2</v>
      </c>
      <c r="FY56" s="12">
        <v>1</v>
      </c>
      <c r="FZ56" s="12">
        <v>1</v>
      </c>
      <c r="GA56" s="12">
        <v>0</v>
      </c>
      <c r="GB56" s="12">
        <v>4</v>
      </c>
      <c r="GC56" s="12">
        <v>0</v>
      </c>
      <c r="GD56" s="12">
        <v>1</v>
      </c>
      <c r="GE56" s="12">
        <v>0</v>
      </c>
      <c r="GF56" s="12">
        <v>2</v>
      </c>
      <c r="GG56" s="12">
        <v>0</v>
      </c>
      <c r="GH56" s="12">
        <v>10</v>
      </c>
      <c r="GI56" s="12">
        <v>0</v>
      </c>
      <c r="GJ56" s="12">
        <v>0</v>
      </c>
      <c r="GK56" s="12">
        <v>0</v>
      </c>
      <c r="GL56" s="12">
        <v>0</v>
      </c>
      <c r="GM56" s="12">
        <v>0</v>
      </c>
      <c r="GN56" s="12">
        <v>5</v>
      </c>
      <c r="GO56" s="12">
        <v>5</v>
      </c>
      <c r="GP56" s="12">
        <v>5</v>
      </c>
      <c r="GQ56" s="12">
        <v>2</v>
      </c>
      <c r="GR56" s="12">
        <v>0</v>
      </c>
      <c r="GS56" s="12">
        <v>1</v>
      </c>
      <c r="GT56" s="12">
        <v>0</v>
      </c>
      <c r="GU56" s="13">
        <v>122</v>
      </c>
      <c r="GV56" s="13">
        <v>37</v>
      </c>
      <c r="GW56" s="13">
        <v>4</v>
      </c>
      <c r="GX56" s="13">
        <v>0</v>
      </c>
      <c r="GY56" s="10">
        <v>1</v>
      </c>
      <c r="GZ56" s="10">
        <v>0</v>
      </c>
      <c r="HA56" s="10">
        <v>15</v>
      </c>
      <c r="HB56" s="10">
        <v>2</v>
      </c>
      <c r="HC56" s="10">
        <v>2</v>
      </c>
      <c r="HD56" s="10">
        <v>0</v>
      </c>
      <c r="HE56" s="10">
        <v>0</v>
      </c>
      <c r="HF56" s="10">
        <v>0</v>
      </c>
      <c r="HG56" s="10">
        <v>0</v>
      </c>
      <c r="HH56" s="10">
        <v>0</v>
      </c>
      <c r="HI56" s="10">
        <v>0</v>
      </c>
      <c r="HJ56" s="10">
        <v>0</v>
      </c>
      <c r="HK56" s="10">
        <v>3</v>
      </c>
      <c r="HL56" s="10">
        <v>0</v>
      </c>
      <c r="HM56" s="10">
        <v>0</v>
      </c>
      <c r="HN56" s="81">
        <v>0</v>
      </c>
      <c r="HO56" s="81">
        <v>4</v>
      </c>
      <c r="HP56" s="81">
        <v>0</v>
      </c>
      <c r="HQ56" s="81">
        <v>0</v>
      </c>
      <c r="HR56" s="81">
        <v>44</v>
      </c>
      <c r="HS56" s="12">
        <v>3</v>
      </c>
      <c r="HT56" s="12">
        <v>0</v>
      </c>
      <c r="HU56" s="12">
        <v>4</v>
      </c>
      <c r="HV56" s="12">
        <v>2</v>
      </c>
      <c r="HW56" s="12">
        <v>0</v>
      </c>
      <c r="HX56" s="12">
        <v>0</v>
      </c>
      <c r="HY56" s="12">
        <v>0</v>
      </c>
      <c r="HZ56" s="12">
        <v>0</v>
      </c>
      <c r="IA56" s="12">
        <v>0</v>
      </c>
      <c r="IB56" s="12">
        <v>2</v>
      </c>
      <c r="IC56" s="12">
        <v>0</v>
      </c>
      <c r="ID56" s="12">
        <v>8</v>
      </c>
      <c r="IE56" s="12">
        <v>19</v>
      </c>
      <c r="IF56" s="12">
        <v>0</v>
      </c>
      <c r="IG56" s="12">
        <v>3</v>
      </c>
      <c r="IH56" s="12">
        <v>0</v>
      </c>
      <c r="II56" s="12">
        <v>4</v>
      </c>
      <c r="IJ56" s="12">
        <v>0</v>
      </c>
      <c r="IK56" s="12">
        <v>0</v>
      </c>
      <c r="IL56" s="12">
        <v>0</v>
      </c>
      <c r="IM56" s="12">
        <v>0</v>
      </c>
      <c r="IN56" s="12">
        <v>0</v>
      </c>
      <c r="IO56" s="12">
        <v>7</v>
      </c>
      <c r="IP56" s="12">
        <v>0</v>
      </c>
      <c r="IQ56" s="12">
        <v>0</v>
      </c>
      <c r="IR56" s="12">
        <v>11</v>
      </c>
      <c r="IS56" s="12">
        <v>1</v>
      </c>
      <c r="IT56" s="12">
        <v>3</v>
      </c>
      <c r="IU56" s="12">
        <v>0</v>
      </c>
      <c r="IV56" s="12">
        <v>1</v>
      </c>
      <c r="IW56" s="12">
        <v>0</v>
      </c>
      <c r="IX56" s="11">
        <v>68976</v>
      </c>
      <c r="IY56" s="11">
        <v>69641</v>
      </c>
      <c r="IZ56" s="11">
        <v>64682</v>
      </c>
      <c r="JA56" s="85" t="s">
        <v>604</v>
      </c>
      <c r="JB56" s="85" t="s">
        <v>602</v>
      </c>
      <c r="JC56" s="85" t="s">
        <v>603</v>
      </c>
      <c r="JD56" s="12">
        <v>15</v>
      </c>
      <c r="JE56" s="12">
        <v>5</v>
      </c>
      <c r="JF56" s="12">
        <v>15</v>
      </c>
      <c r="JG56" s="12">
        <v>2</v>
      </c>
      <c r="JH56" s="12">
        <v>15</v>
      </c>
      <c r="JI56" s="12">
        <v>5</v>
      </c>
      <c r="JJ56" s="13" t="s">
        <v>619</v>
      </c>
      <c r="JK56" s="13" t="s">
        <v>619</v>
      </c>
      <c r="JL56" s="13" t="s">
        <v>296</v>
      </c>
      <c r="JM56" s="89"/>
      <c r="JN56" s="89"/>
      <c r="JO56" s="89" t="s">
        <v>297</v>
      </c>
      <c r="JP56" s="89"/>
      <c r="JQ56" s="89"/>
      <c r="JR56" s="89" t="s">
        <v>296</v>
      </c>
      <c r="JS56" s="89" t="s">
        <v>620</v>
      </c>
      <c r="JT56" s="89" t="s">
        <v>620</v>
      </c>
      <c r="JU56" s="89" t="s">
        <v>297</v>
      </c>
      <c r="JV56" s="89"/>
      <c r="JW56" s="89"/>
      <c r="JX56" s="89" t="s">
        <v>297</v>
      </c>
      <c r="JY56" s="12" t="s">
        <v>34</v>
      </c>
      <c r="JZ56" s="12" t="s">
        <v>34</v>
      </c>
      <c r="KA56" s="12" t="s">
        <v>34</v>
      </c>
      <c r="KB56" s="12" t="s">
        <v>34</v>
      </c>
      <c r="KC56" s="12" t="s">
        <v>619</v>
      </c>
      <c r="KD56" s="12" t="s">
        <v>34</v>
      </c>
      <c r="KE56" s="12" t="s">
        <v>34</v>
      </c>
      <c r="KF56" s="12"/>
      <c r="KG56" s="12" t="s">
        <v>34</v>
      </c>
      <c r="KH56" s="12" t="s">
        <v>34</v>
      </c>
      <c r="KI56" s="12" t="s">
        <v>34</v>
      </c>
      <c r="KJ56" s="12" t="s">
        <v>34</v>
      </c>
      <c r="KK56" s="12" t="s">
        <v>34</v>
      </c>
      <c r="KL56" s="12" t="s">
        <v>34</v>
      </c>
      <c r="KM56" s="12" t="s">
        <v>34</v>
      </c>
      <c r="KN56" s="12" t="s">
        <v>619</v>
      </c>
      <c r="KO56" s="12" t="s">
        <v>619</v>
      </c>
      <c r="KP56" s="12" t="s">
        <v>34</v>
      </c>
      <c r="KQ56" s="12" t="s">
        <v>619</v>
      </c>
      <c r="KR56" s="12" t="s">
        <v>34</v>
      </c>
      <c r="KS56" s="12" t="s">
        <v>34</v>
      </c>
      <c r="KT56" s="12" t="s">
        <v>34</v>
      </c>
      <c r="KU56" s="12" t="s">
        <v>34</v>
      </c>
      <c r="KV56" s="12" t="s">
        <v>34</v>
      </c>
      <c r="KW56" s="12" t="s">
        <v>34</v>
      </c>
      <c r="KX56" s="12" t="s">
        <v>34</v>
      </c>
      <c r="KY56" s="12" t="s">
        <v>34</v>
      </c>
      <c r="KZ56" s="12" t="s">
        <v>34</v>
      </c>
      <c r="LA56" s="12" t="s">
        <v>34</v>
      </c>
      <c r="LB56" s="12" t="s">
        <v>619</v>
      </c>
      <c r="LC56" s="12" t="s">
        <v>34</v>
      </c>
      <c r="LD56" s="12" t="s">
        <v>34</v>
      </c>
      <c r="LE56" s="12" t="s">
        <v>34</v>
      </c>
      <c r="LF56" s="12" t="s">
        <v>34</v>
      </c>
      <c r="LG56" s="12" t="s">
        <v>34</v>
      </c>
      <c r="LH56" s="12" t="s">
        <v>34</v>
      </c>
      <c r="LI56" s="12" t="s">
        <v>619</v>
      </c>
      <c r="LJ56" s="12" t="s">
        <v>34</v>
      </c>
      <c r="LK56" s="12" t="s">
        <v>34</v>
      </c>
      <c r="LL56" s="13" t="s">
        <v>34</v>
      </c>
      <c r="LM56" s="13" t="s">
        <v>34</v>
      </c>
      <c r="LN56" s="13" t="s">
        <v>619</v>
      </c>
      <c r="LO56" s="13" t="s">
        <v>34</v>
      </c>
      <c r="LP56" s="90" t="s">
        <v>619</v>
      </c>
      <c r="LQ56" s="13" t="s">
        <v>34</v>
      </c>
      <c r="LR56" s="13" t="s">
        <v>34</v>
      </c>
      <c r="LS56" s="13"/>
      <c r="LT56" s="13" t="s">
        <v>34</v>
      </c>
      <c r="LU56" s="13" t="s">
        <v>34</v>
      </c>
      <c r="LV56" s="13" t="s">
        <v>619</v>
      </c>
      <c r="LW56" s="13" t="s">
        <v>34</v>
      </c>
      <c r="LX56" s="13" t="s">
        <v>34</v>
      </c>
      <c r="LY56" s="13" t="s">
        <v>34</v>
      </c>
      <c r="LZ56" s="13" t="s">
        <v>34</v>
      </c>
      <c r="MA56" s="13" t="s">
        <v>619</v>
      </c>
      <c r="MB56" s="13" t="s">
        <v>619</v>
      </c>
      <c r="MC56" s="13" t="s">
        <v>34</v>
      </c>
      <c r="MD56" s="13" t="s">
        <v>619</v>
      </c>
      <c r="ME56" s="13" t="s">
        <v>34</v>
      </c>
      <c r="MF56" s="13" t="s">
        <v>34</v>
      </c>
      <c r="MG56" s="13" t="s">
        <v>34</v>
      </c>
      <c r="MH56" s="13" t="s">
        <v>34</v>
      </c>
      <c r="MI56" s="13" t="s">
        <v>34</v>
      </c>
      <c r="MJ56" s="13" t="s">
        <v>34</v>
      </c>
      <c r="MK56" s="13" t="s">
        <v>34</v>
      </c>
      <c r="ML56" s="13" t="s">
        <v>34</v>
      </c>
      <c r="MM56" s="13" t="s">
        <v>34</v>
      </c>
      <c r="MN56" s="13" t="s">
        <v>34</v>
      </c>
      <c r="MO56" s="13" t="s">
        <v>619</v>
      </c>
      <c r="MP56" s="13" t="s">
        <v>34</v>
      </c>
      <c r="MQ56" s="13" t="s">
        <v>619</v>
      </c>
      <c r="MR56" s="13" t="s">
        <v>619</v>
      </c>
      <c r="MS56" s="13" t="s">
        <v>34</v>
      </c>
      <c r="MT56" s="13" t="s">
        <v>34</v>
      </c>
      <c r="MU56" s="13" t="s">
        <v>34</v>
      </c>
      <c r="MV56" s="13" t="s">
        <v>619</v>
      </c>
      <c r="MW56" s="13" t="s">
        <v>34</v>
      </c>
      <c r="MX56" s="13" t="s">
        <v>619</v>
      </c>
      <c r="MY56" s="28" t="s">
        <v>296</v>
      </c>
      <c r="MZ56" s="28" t="s">
        <v>296</v>
      </c>
      <c r="NA56" s="28" t="s">
        <v>297</v>
      </c>
      <c r="NB56" s="28" t="s">
        <v>296</v>
      </c>
      <c r="NC56" s="28" t="s">
        <v>296</v>
      </c>
      <c r="ND56" s="28" t="s">
        <v>297</v>
      </c>
      <c r="NE56" s="28" t="s">
        <v>297</v>
      </c>
      <c r="NF56" s="28" t="s">
        <v>297</v>
      </c>
      <c r="NG56" s="28" t="s">
        <v>297</v>
      </c>
      <c r="NH56" s="28" t="s">
        <v>297</v>
      </c>
      <c r="NI56" s="177" t="s">
        <v>296</v>
      </c>
      <c r="NJ56" s="177" t="s">
        <v>297</v>
      </c>
      <c r="NK56" s="177" t="s">
        <v>297</v>
      </c>
      <c r="NL56" s="177" t="s">
        <v>297</v>
      </c>
      <c r="NM56" s="177" t="s">
        <v>296</v>
      </c>
      <c r="NN56" s="177" t="s">
        <v>296</v>
      </c>
      <c r="NO56" s="177" t="s">
        <v>297</v>
      </c>
      <c r="NP56" s="177" t="s">
        <v>296</v>
      </c>
      <c r="NQ56" s="177" t="s">
        <v>297</v>
      </c>
      <c r="NR56" s="12" t="s">
        <v>34</v>
      </c>
      <c r="NS56" s="13" t="s">
        <v>34</v>
      </c>
    </row>
    <row r="57" spans="1:383" x14ac:dyDescent="0.25">
      <c r="A57" s="8" t="s">
        <v>154</v>
      </c>
      <c r="B57" s="9" t="s">
        <v>155</v>
      </c>
      <c r="C57" s="9">
        <v>44</v>
      </c>
      <c r="D57" s="9" t="s">
        <v>51</v>
      </c>
      <c r="E57" s="10">
        <v>39</v>
      </c>
      <c r="F57" s="10">
        <v>43</v>
      </c>
      <c r="G57" s="10">
        <v>41</v>
      </c>
      <c r="H57" s="10">
        <v>51</v>
      </c>
      <c r="I57" s="10">
        <v>42</v>
      </c>
      <c r="J57" s="11">
        <v>278</v>
      </c>
      <c r="K57" s="11">
        <v>261</v>
      </c>
      <c r="L57" s="11">
        <v>294</v>
      </c>
      <c r="M57" s="11">
        <v>335</v>
      </c>
      <c r="N57" s="11">
        <v>261</v>
      </c>
      <c r="O57" s="13">
        <v>3339</v>
      </c>
      <c r="P57" s="13">
        <v>3611</v>
      </c>
      <c r="Q57" s="13">
        <v>3375</v>
      </c>
      <c r="R57" s="13">
        <v>3914</v>
      </c>
      <c r="S57" s="13">
        <v>3205</v>
      </c>
      <c r="T57" s="12">
        <v>1132</v>
      </c>
      <c r="U57" s="12">
        <v>1227</v>
      </c>
      <c r="V57" s="12">
        <v>1361</v>
      </c>
      <c r="W57" s="12">
        <v>1434</v>
      </c>
      <c r="X57" s="12">
        <v>1080</v>
      </c>
      <c r="Y57" s="12">
        <v>6.2</v>
      </c>
      <c r="Z57" s="12">
        <v>6.2</v>
      </c>
      <c r="AA57" s="12">
        <v>6.2</v>
      </c>
      <c r="AB57" s="13">
        <v>6</v>
      </c>
      <c r="AC57" s="13">
        <v>6</v>
      </c>
      <c r="AD57" s="13">
        <v>6</v>
      </c>
      <c r="AE57" s="35" t="s">
        <v>259</v>
      </c>
      <c r="AF57" s="35" t="s">
        <v>259</v>
      </c>
      <c r="AG57" s="35" t="s">
        <v>259</v>
      </c>
      <c r="AH57" s="38">
        <v>1</v>
      </c>
      <c r="AI57" s="38">
        <v>1</v>
      </c>
      <c r="AJ57" s="38">
        <v>1</v>
      </c>
      <c r="AK57" s="45" t="s">
        <v>34</v>
      </c>
      <c r="AL57" s="45" t="s">
        <v>34</v>
      </c>
      <c r="AM57" s="45" t="s">
        <v>34</v>
      </c>
      <c r="AN57" s="45" t="s">
        <v>34</v>
      </c>
      <c r="AO57" s="45" t="s">
        <v>34</v>
      </c>
      <c r="AP57" s="45" t="s">
        <v>34</v>
      </c>
      <c r="AQ57" s="53" t="s">
        <v>297</v>
      </c>
      <c r="AR57" s="56">
        <v>142</v>
      </c>
      <c r="AS57" s="57">
        <v>68</v>
      </c>
      <c r="AT57" s="56">
        <v>125</v>
      </c>
      <c r="AU57" s="57">
        <v>16569</v>
      </c>
      <c r="AV57" s="57">
        <v>7780</v>
      </c>
      <c r="AW57" s="57">
        <v>7370</v>
      </c>
      <c r="AX57" s="57">
        <v>81</v>
      </c>
      <c r="AY57" s="57">
        <v>5</v>
      </c>
      <c r="AZ57" s="57">
        <v>7</v>
      </c>
      <c r="BA57" s="57">
        <v>3675</v>
      </c>
      <c r="BB57" s="57">
        <v>5378</v>
      </c>
      <c r="BC57" s="57">
        <v>7028</v>
      </c>
      <c r="BD57" s="57">
        <v>2269</v>
      </c>
      <c r="BE57" s="57">
        <v>2386</v>
      </c>
      <c r="BF57" s="57">
        <v>2114</v>
      </c>
      <c r="BG57" s="57">
        <v>1567</v>
      </c>
      <c r="BH57" s="57">
        <v>2521</v>
      </c>
      <c r="BI57" s="57">
        <v>2990</v>
      </c>
      <c r="BJ57" s="57" t="s">
        <v>297</v>
      </c>
      <c r="BK57" s="57">
        <v>12</v>
      </c>
      <c r="BL57" s="57">
        <v>0</v>
      </c>
      <c r="BM57" s="57">
        <v>0</v>
      </c>
      <c r="BN57" s="57">
        <v>65</v>
      </c>
      <c r="BO57" s="57">
        <v>676</v>
      </c>
      <c r="BP57" s="57">
        <v>0</v>
      </c>
      <c r="BQ57" s="76">
        <v>156</v>
      </c>
      <c r="BR57" s="76">
        <v>151</v>
      </c>
      <c r="BS57">
        <v>148</v>
      </c>
      <c r="BT57">
        <v>148</v>
      </c>
      <c r="BU57">
        <v>147</v>
      </c>
      <c r="BV57">
        <v>15905</v>
      </c>
      <c r="BW57">
        <v>15545</v>
      </c>
      <c r="BX57">
        <v>15114</v>
      </c>
      <c r="BY57">
        <v>15008</v>
      </c>
      <c r="BZ57">
        <v>14735</v>
      </c>
      <c r="CA57">
        <v>63</v>
      </c>
      <c r="CB57">
        <v>62</v>
      </c>
      <c r="CC57">
        <v>62</v>
      </c>
      <c r="CD57">
        <v>64</v>
      </c>
      <c r="CE57">
        <v>50</v>
      </c>
      <c r="CF57">
        <v>4471</v>
      </c>
      <c r="CG57">
        <v>4838</v>
      </c>
      <c r="CH57">
        <v>4736</v>
      </c>
      <c r="CI57">
        <v>5348</v>
      </c>
      <c r="CJ57">
        <v>4285</v>
      </c>
      <c r="CK57" s="10">
        <v>40</v>
      </c>
      <c r="CL57" s="10">
        <v>40</v>
      </c>
      <c r="CM57" s="10">
        <v>40</v>
      </c>
      <c r="CN57" s="11">
        <v>16</v>
      </c>
      <c r="CO57" s="11">
        <v>16</v>
      </c>
      <c r="CP57" s="11">
        <v>16</v>
      </c>
      <c r="CQ57" s="13">
        <v>13</v>
      </c>
      <c r="CR57" s="13">
        <v>8</v>
      </c>
      <c r="CS57" s="13">
        <v>0</v>
      </c>
      <c r="CT57" s="10">
        <v>0</v>
      </c>
      <c r="CU57" s="10">
        <v>0</v>
      </c>
      <c r="CV57" s="10">
        <v>6</v>
      </c>
      <c r="CW57" s="10">
        <v>2</v>
      </c>
      <c r="CX57" s="10">
        <v>0</v>
      </c>
      <c r="CY57" s="10">
        <v>0</v>
      </c>
      <c r="CZ57" s="10">
        <v>0</v>
      </c>
      <c r="DA57" s="10">
        <v>0</v>
      </c>
      <c r="DB57" s="10">
        <v>2</v>
      </c>
      <c r="DC57" s="10">
        <v>0</v>
      </c>
      <c r="DD57" s="10">
        <v>1</v>
      </c>
      <c r="DE57" s="10">
        <v>0</v>
      </c>
      <c r="DF57" s="10">
        <v>1</v>
      </c>
      <c r="DG57" s="10">
        <v>0</v>
      </c>
      <c r="DH57" s="10">
        <v>0</v>
      </c>
      <c r="DI57" s="81">
        <v>0</v>
      </c>
      <c r="DJ57" s="81">
        <v>0</v>
      </c>
      <c r="DK57" s="81">
        <v>0</v>
      </c>
      <c r="DL57" s="81">
        <v>0</v>
      </c>
      <c r="DM57" s="81">
        <v>13</v>
      </c>
      <c r="DN57" s="12">
        <v>0</v>
      </c>
      <c r="DO57" s="12">
        <v>0</v>
      </c>
      <c r="DP57" s="12">
        <v>0</v>
      </c>
      <c r="DQ57" s="12">
        <v>0</v>
      </c>
      <c r="DR57" s="12">
        <v>0</v>
      </c>
      <c r="DS57" s="12">
        <v>0</v>
      </c>
      <c r="DT57" s="12">
        <v>0</v>
      </c>
      <c r="DU57" s="12">
        <v>0</v>
      </c>
      <c r="DV57" s="12">
        <v>10</v>
      </c>
      <c r="DW57" s="12">
        <v>0</v>
      </c>
      <c r="DX57" s="12">
        <v>0</v>
      </c>
      <c r="DY57" s="12">
        <v>2</v>
      </c>
      <c r="DZ57" s="12">
        <v>0</v>
      </c>
      <c r="EA57" s="12">
        <v>0</v>
      </c>
      <c r="EB57" s="12">
        <v>12</v>
      </c>
      <c r="EC57" s="12">
        <v>0</v>
      </c>
      <c r="ED57" s="12">
        <v>5</v>
      </c>
      <c r="EE57" s="12">
        <v>2</v>
      </c>
      <c r="EF57" s="12">
        <v>9</v>
      </c>
      <c r="EG57" s="12">
        <v>0</v>
      </c>
      <c r="EH57" s="12">
        <v>0</v>
      </c>
      <c r="EI57" s="12">
        <v>0</v>
      </c>
      <c r="EJ57" s="12">
        <v>0</v>
      </c>
      <c r="EK57" s="12">
        <v>0</v>
      </c>
      <c r="EL57" s="12">
        <v>0</v>
      </c>
      <c r="EM57" s="12">
        <v>2</v>
      </c>
      <c r="EN57" s="12">
        <v>4</v>
      </c>
      <c r="EO57" s="12">
        <v>1</v>
      </c>
      <c r="EP57" s="12">
        <v>2</v>
      </c>
      <c r="EQ57" s="12">
        <v>0</v>
      </c>
      <c r="ER57" s="12">
        <v>0</v>
      </c>
      <c r="ES57" s="13">
        <v>1</v>
      </c>
      <c r="ET57" s="13">
        <v>10</v>
      </c>
      <c r="EU57" s="13">
        <v>0</v>
      </c>
      <c r="EV57" s="10">
        <v>0</v>
      </c>
      <c r="EW57" s="10">
        <v>0</v>
      </c>
      <c r="EX57" s="10">
        <v>2</v>
      </c>
      <c r="EY57" s="10">
        <v>1</v>
      </c>
      <c r="EZ57" s="10">
        <v>0</v>
      </c>
      <c r="FA57" s="10">
        <v>0</v>
      </c>
      <c r="FB57" s="10">
        <v>0</v>
      </c>
      <c r="FC57" s="10">
        <v>0</v>
      </c>
      <c r="FD57" s="10">
        <v>0</v>
      </c>
      <c r="FE57" s="10">
        <v>0</v>
      </c>
      <c r="FF57" s="10">
        <v>0</v>
      </c>
      <c r="FG57" s="10">
        <v>0</v>
      </c>
      <c r="FH57" s="10">
        <v>13</v>
      </c>
      <c r="FI57" s="10">
        <v>0</v>
      </c>
      <c r="FJ57" s="10">
        <v>0</v>
      </c>
      <c r="FK57" s="81">
        <v>0</v>
      </c>
      <c r="FL57" s="81">
        <v>4</v>
      </c>
      <c r="FM57" s="81">
        <v>0</v>
      </c>
      <c r="FN57" s="81">
        <v>0</v>
      </c>
      <c r="FO57" s="81">
        <v>4</v>
      </c>
      <c r="FP57" s="12">
        <v>2</v>
      </c>
      <c r="FQ57" s="12">
        <v>0</v>
      </c>
      <c r="FR57" s="12">
        <v>1</v>
      </c>
      <c r="FS57" s="12">
        <v>0</v>
      </c>
      <c r="FT57" s="12">
        <v>0</v>
      </c>
      <c r="FU57" s="12">
        <v>0</v>
      </c>
      <c r="FV57" s="12">
        <v>0</v>
      </c>
      <c r="FW57" s="12">
        <v>0</v>
      </c>
      <c r="FX57" s="12">
        <v>7</v>
      </c>
      <c r="FY57" s="12">
        <v>1</v>
      </c>
      <c r="FZ57" s="12">
        <v>1</v>
      </c>
      <c r="GA57" s="12">
        <v>1</v>
      </c>
      <c r="GB57" s="12">
        <v>0</v>
      </c>
      <c r="GC57" s="12">
        <v>0</v>
      </c>
      <c r="GD57" s="12">
        <v>0</v>
      </c>
      <c r="GE57" s="12">
        <v>0</v>
      </c>
      <c r="GF57" s="12">
        <v>0</v>
      </c>
      <c r="GG57" s="12">
        <v>5</v>
      </c>
      <c r="GH57" s="12">
        <v>6</v>
      </c>
      <c r="GI57" s="12">
        <v>0</v>
      </c>
      <c r="GJ57" s="12">
        <v>0</v>
      </c>
      <c r="GK57" s="12">
        <v>4</v>
      </c>
      <c r="GL57" s="12">
        <v>0</v>
      </c>
      <c r="GM57" s="12">
        <v>0</v>
      </c>
      <c r="GN57" s="12">
        <v>1</v>
      </c>
      <c r="GO57" s="12">
        <v>3</v>
      </c>
      <c r="GP57" s="12">
        <v>7</v>
      </c>
      <c r="GQ57" s="12">
        <v>10</v>
      </c>
      <c r="GR57" s="12">
        <v>1</v>
      </c>
      <c r="GS57" s="12">
        <v>0</v>
      </c>
      <c r="GT57" s="12">
        <v>0</v>
      </c>
      <c r="GU57" s="13">
        <v>68</v>
      </c>
      <c r="GV57" s="13">
        <v>3</v>
      </c>
      <c r="GW57" s="13">
        <v>4</v>
      </c>
      <c r="GX57" s="13">
        <v>0</v>
      </c>
      <c r="GY57" s="10">
        <v>0</v>
      </c>
      <c r="GZ57" s="10">
        <v>0</v>
      </c>
      <c r="HA57" s="10">
        <v>7</v>
      </c>
      <c r="HB57" s="10">
        <v>8</v>
      </c>
      <c r="HC57" s="10">
        <v>18</v>
      </c>
      <c r="HD57" s="10">
        <v>0</v>
      </c>
      <c r="HE57" s="10">
        <v>0</v>
      </c>
      <c r="HF57" s="10">
        <v>0</v>
      </c>
      <c r="HG57" s="10">
        <v>0</v>
      </c>
      <c r="HH57" s="10">
        <v>0</v>
      </c>
      <c r="HI57" s="10">
        <v>1</v>
      </c>
      <c r="HJ57" s="10">
        <v>0</v>
      </c>
      <c r="HK57" s="10">
        <v>48</v>
      </c>
      <c r="HL57" s="10">
        <v>0</v>
      </c>
      <c r="HM57" s="10">
        <v>0</v>
      </c>
      <c r="HN57" s="81">
        <v>0</v>
      </c>
      <c r="HO57" s="81">
        <v>0</v>
      </c>
      <c r="HP57" s="81">
        <v>5</v>
      </c>
      <c r="HQ57" s="81">
        <v>0</v>
      </c>
      <c r="HR57" s="81">
        <v>0</v>
      </c>
      <c r="HS57" s="12">
        <v>0</v>
      </c>
      <c r="HT57" s="12">
        <v>0</v>
      </c>
      <c r="HU57" s="12">
        <v>1</v>
      </c>
      <c r="HV57" s="12">
        <v>0</v>
      </c>
      <c r="HW57" s="12">
        <v>1</v>
      </c>
      <c r="HX57" s="12">
        <v>0</v>
      </c>
      <c r="HY57" s="12">
        <v>1</v>
      </c>
      <c r="HZ57" s="12">
        <v>0</v>
      </c>
      <c r="IA57" s="12">
        <v>0</v>
      </c>
      <c r="IB57" s="12">
        <v>4</v>
      </c>
      <c r="IC57" s="12">
        <v>4</v>
      </c>
      <c r="ID57" s="12">
        <v>1</v>
      </c>
      <c r="IE57" s="12">
        <v>0</v>
      </c>
      <c r="IF57" s="12">
        <v>0</v>
      </c>
      <c r="IG57" s="12">
        <v>2</v>
      </c>
      <c r="IH57" s="12">
        <v>0</v>
      </c>
      <c r="II57" s="12">
        <v>1</v>
      </c>
      <c r="IJ57" s="12">
        <v>0</v>
      </c>
      <c r="IK57" s="12">
        <v>0</v>
      </c>
      <c r="IL57" s="12">
        <v>0</v>
      </c>
      <c r="IM57" s="12">
        <v>0</v>
      </c>
      <c r="IN57" s="12">
        <v>0</v>
      </c>
      <c r="IO57" s="12">
        <v>0</v>
      </c>
      <c r="IP57" s="12">
        <v>0</v>
      </c>
      <c r="IQ57" s="12">
        <v>0</v>
      </c>
      <c r="IR57" s="12">
        <v>2</v>
      </c>
      <c r="IS57" s="12">
        <v>14</v>
      </c>
      <c r="IT57" s="12">
        <v>4</v>
      </c>
      <c r="IU57" s="12">
        <v>0</v>
      </c>
      <c r="IV57" s="12">
        <v>1</v>
      </c>
      <c r="IW57" s="12">
        <v>0</v>
      </c>
      <c r="IX57" s="11">
        <v>0</v>
      </c>
      <c r="IY57" s="11">
        <v>18000</v>
      </c>
      <c r="IZ57" s="11">
        <v>0</v>
      </c>
      <c r="JA57" s="85">
        <v>1</v>
      </c>
      <c r="JB57" s="85">
        <v>0</v>
      </c>
      <c r="JC57" s="85">
        <v>1</v>
      </c>
      <c r="JD57" s="12">
        <v>4</v>
      </c>
      <c r="JE57" s="12">
        <v>4</v>
      </c>
      <c r="JF57" s="12">
        <v>4</v>
      </c>
      <c r="JG57" s="12">
        <v>4</v>
      </c>
      <c r="JH57" s="12">
        <v>4</v>
      </c>
      <c r="JI57" s="12">
        <v>4</v>
      </c>
      <c r="JJ57" s="13" t="s">
        <v>619</v>
      </c>
      <c r="JK57" s="13" t="s">
        <v>619</v>
      </c>
      <c r="JL57" s="13" t="s">
        <v>297</v>
      </c>
      <c r="JM57" s="89"/>
      <c r="JN57" s="89"/>
      <c r="JO57" s="89" t="s">
        <v>296</v>
      </c>
      <c r="JP57" s="89"/>
      <c r="JQ57" s="89"/>
      <c r="JR57" s="89" t="s">
        <v>296</v>
      </c>
      <c r="JS57" s="89" t="s">
        <v>620</v>
      </c>
      <c r="JT57" s="89" t="s">
        <v>619</v>
      </c>
      <c r="JU57" s="89" t="s">
        <v>297</v>
      </c>
      <c r="JV57" s="89"/>
      <c r="JW57" s="89"/>
      <c r="JX57" s="89" t="s">
        <v>297</v>
      </c>
      <c r="JY57" s="12" t="s">
        <v>34</v>
      </c>
      <c r="JZ57" s="12" t="s">
        <v>34</v>
      </c>
      <c r="KA57" s="12" t="s">
        <v>34</v>
      </c>
      <c r="KB57" s="12" t="s">
        <v>34</v>
      </c>
      <c r="KC57" s="12" t="s">
        <v>619</v>
      </c>
      <c r="KD57" s="12" t="s">
        <v>34</v>
      </c>
      <c r="KE57" s="12" t="s">
        <v>34</v>
      </c>
      <c r="KF57" s="12"/>
      <c r="KG57" s="12" t="s">
        <v>34</v>
      </c>
      <c r="KH57" s="12" t="s">
        <v>34</v>
      </c>
      <c r="KI57" s="12" t="s">
        <v>34</v>
      </c>
      <c r="KJ57" s="12" t="s">
        <v>34</v>
      </c>
      <c r="KK57" s="12" t="s">
        <v>34</v>
      </c>
      <c r="KL57" s="12" t="s">
        <v>34</v>
      </c>
      <c r="KM57" s="12" t="s">
        <v>619</v>
      </c>
      <c r="KN57" s="12" t="s">
        <v>619</v>
      </c>
      <c r="KO57" s="12" t="s">
        <v>619</v>
      </c>
      <c r="KP57" s="12" t="s">
        <v>34</v>
      </c>
      <c r="KQ57" s="12" t="s">
        <v>619</v>
      </c>
      <c r="KR57" s="12" t="s">
        <v>619</v>
      </c>
      <c r="KS57" s="12" t="s">
        <v>34</v>
      </c>
      <c r="KT57" s="12" t="s">
        <v>34</v>
      </c>
      <c r="KU57" s="12" t="s">
        <v>34</v>
      </c>
      <c r="KV57" s="12" t="s">
        <v>34</v>
      </c>
      <c r="KW57" s="12" t="s">
        <v>34</v>
      </c>
      <c r="KX57" s="12" t="s">
        <v>34</v>
      </c>
      <c r="KY57" s="12" t="s">
        <v>34</v>
      </c>
      <c r="KZ57" s="12" t="s">
        <v>34</v>
      </c>
      <c r="LA57" s="12" t="s">
        <v>34</v>
      </c>
      <c r="LB57" s="12" t="s">
        <v>619</v>
      </c>
      <c r="LC57" s="12" t="s">
        <v>34</v>
      </c>
      <c r="LD57" s="12" t="s">
        <v>619</v>
      </c>
      <c r="LE57" s="12" t="s">
        <v>619</v>
      </c>
      <c r="LF57" s="12" t="s">
        <v>34</v>
      </c>
      <c r="LG57" s="12" t="s">
        <v>34</v>
      </c>
      <c r="LH57" s="12" t="s">
        <v>34</v>
      </c>
      <c r="LI57" s="12" t="s">
        <v>619</v>
      </c>
      <c r="LJ57" s="12" t="s">
        <v>34</v>
      </c>
      <c r="LK57" s="12" t="s">
        <v>34</v>
      </c>
      <c r="LL57" s="13" t="s">
        <v>34</v>
      </c>
      <c r="LM57" s="13" t="s">
        <v>34</v>
      </c>
      <c r="LN57" s="13" t="s">
        <v>34</v>
      </c>
      <c r="LO57" s="13" t="s">
        <v>34</v>
      </c>
      <c r="LP57" s="90" t="s">
        <v>619</v>
      </c>
      <c r="LQ57" s="13" t="s">
        <v>34</v>
      </c>
      <c r="LR57" s="13" t="s">
        <v>34</v>
      </c>
      <c r="LS57" s="13"/>
      <c r="LT57" s="13" t="s">
        <v>34</v>
      </c>
      <c r="LU57" s="13" t="s">
        <v>34</v>
      </c>
      <c r="LV57" s="13" t="s">
        <v>34</v>
      </c>
      <c r="LW57" s="13" t="s">
        <v>34</v>
      </c>
      <c r="LX57" s="13" t="s">
        <v>34</v>
      </c>
      <c r="LY57" s="13" t="s">
        <v>34</v>
      </c>
      <c r="LZ57" s="13" t="s">
        <v>619</v>
      </c>
      <c r="MA57" s="13" t="s">
        <v>619</v>
      </c>
      <c r="MB57" s="13" t="s">
        <v>619</v>
      </c>
      <c r="MC57" s="13" t="s">
        <v>34</v>
      </c>
      <c r="MD57" s="13" t="s">
        <v>619</v>
      </c>
      <c r="ME57" s="13" t="s">
        <v>619</v>
      </c>
      <c r="MF57" s="13" t="s">
        <v>34</v>
      </c>
      <c r="MG57" s="13" t="s">
        <v>34</v>
      </c>
      <c r="MH57" s="13" t="s">
        <v>34</v>
      </c>
      <c r="MI57" s="13" t="s">
        <v>34</v>
      </c>
      <c r="MJ57" s="13" t="s">
        <v>34</v>
      </c>
      <c r="MK57" s="13" t="s">
        <v>34</v>
      </c>
      <c r="ML57" s="13" t="s">
        <v>34</v>
      </c>
      <c r="MM57" s="13" t="s">
        <v>34</v>
      </c>
      <c r="MN57" s="13" t="s">
        <v>34</v>
      </c>
      <c r="MO57" s="13" t="s">
        <v>619</v>
      </c>
      <c r="MP57" s="13" t="s">
        <v>34</v>
      </c>
      <c r="MQ57" s="13" t="s">
        <v>619</v>
      </c>
      <c r="MR57" s="13" t="s">
        <v>619</v>
      </c>
      <c r="MS57" s="13" t="s">
        <v>34</v>
      </c>
      <c r="MT57" s="13" t="s">
        <v>34</v>
      </c>
      <c r="MU57" s="13" t="s">
        <v>34</v>
      </c>
      <c r="MV57" s="13" t="s">
        <v>619</v>
      </c>
      <c r="MW57" s="13" t="s">
        <v>34</v>
      </c>
      <c r="MX57" s="13" t="s">
        <v>34</v>
      </c>
      <c r="MY57" s="28" t="s">
        <v>296</v>
      </c>
      <c r="MZ57" s="28" t="s">
        <v>296</v>
      </c>
      <c r="NA57" s="28" t="s">
        <v>296</v>
      </c>
      <c r="NB57" s="28" t="s">
        <v>296</v>
      </c>
      <c r="NC57" s="28" t="s">
        <v>296</v>
      </c>
      <c r="ND57" s="28" t="s">
        <v>297</v>
      </c>
      <c r="NE57" s="28" t="s">
        <v>296</v>
      </c>
      <c r="NF57" s="28" t="s">
        <v>297</v>
      </c>
      <c r="NG57" s="28" t="s">
        <v>297</v>
      </c>
      <c r="NH57" s="28" t="s">
        <v>297</v>
      </c>
      <c r="NI57" s="177" t="s">
        <v>296</v>
      </c>
      <c r="NJ57" s="177" t="s">
        <v>297</v>
      </c>
      <c r="NK57" s="177" t="s">
        <v>297</v>
      </c>
      <c r="NL57" s="177" t="s">
        <v>296</v>
      </c>
      <c r="NM57" s="177" t="s">
        <v>296</v>
      </c>
      <c r="NN57" s="177" t="s">
        <v>296</v>
      </c>
      <c r="NO57" s="177" t="s">
        <v>296</v>
      </c>
      <c r="NP57" s="177" t="s">
        <v>296</v>
      </c>
      <c r="NQ57" s="177" t="s">
        <v>296</v>
      </c>
      <c r="NR57" s="12" t="s">
        <v>34</v>
      </c>
      <c r="NS57" s="13" t="s">
        <v>34</v>
      </c>
    </row>
    <row r="58" spans="1:383" x14ac:dyDescent="0.25">
      <c r="A58" s="8" t="s">
        <v>156</v>
      </c>
      <c r="B58" s="9" t="s">
        <v>157</v>
      </c>
      <c r="C58" s="9">
        <v>53</v>
      </c>
      <c r="D58" s="9" t="s">
        <v>83</v>
      </c>
      <c r="E58" s="10">
        <v>101</v>
      </c>
      <c r="F58" s="10">
        <v>100</v>
      </c>
      <c r="G58" s="10">
        <v>87</v>
      </c>
      <c r="H58" s="10">
        <v>76</v>
      </c>
      <c r="I58" s="10">
        <v>45</v>
      </c>
      <c r="J58" s="11">
        <v>444</v>
      </c>
      <c r="K58" s="11">
        <v>454</v>
      </c>
      <c r="L58" s="11">
        <v>340</v>
      </c>
      <c r="M58" s="11">
        <v>287</v>
      </c>
      <c r="N58" s="11">
        <v>180</v>
      </c>
      <c r="O58" s="13">
        <v>8388</v>
      </c>
      <c r="P58" s="13">
        <v>7979</v>
      </c>
      <c r="Q58" s="13">
        <v>7968</v>
      </c>
      <c r="R58" s="13">
        <v>6296</v>
      </c>
      <c r="S58" s="13">
        <v>3791</v>
      </c>
      <c r="T58" s="12">
        <v>3861</v>
      </c>
      <c r="U58" s="12">
        <v>3872</v>
      </c>
      <c r="V58" s="12">
        <v>3867</v>
      </c>
      <c r="W58" s="12">
        <v>3274</v>
      </c>
      <c r="X58" s="12">
        <v>1750</v>
      </c>
      <c r="Y58" s="12">
        <v>7.89</v>
      </c>
      <c r="Z58" s="12">
        <v>7.89</v>
      </c>
      <c r="AA58" s="12">
        <v>7.89</v>
      </c>
      <c r="AB58" s="13">
        <v>6.49</v>
      </c>
      <c r="AC58" s="13">
        <v>6.49</v>
      </c>
      <c r="AD58" s="13">
        <v>6.49</v>
      </c>
      <c r="AE58" s="35" t="s">
        <v>258</v>
      </c>
      <c r="AF58" s="35" t="s">
        <v>258</v>
      </c>
      <c r="AG58" s="35" t="s">
        <v>259</v>
      </c>
      <c r="AH58" s="38">
        <v>0.5</v>
      </c>
      <c r="AI58" s="38">
        <v>0.5</v>
      </c>
      <c r="AJ58" s="38">
        <v>1</v>
      </c>
      <c r="AK58" s="45" t="s">
        <v>288</v>
      </c>
      <c r="AL58" s="45" t="s">
        <v>34</v>
      </c>
      <c r="AM58" s="45" t="s">
        <v>34</v>
      </c>
      <c r="AN58" s="45" t="s">
        <v>34</v>
      </c>
      <c r="AO58" s="45" t="s">
        <v>34</v>
      </c>
      <c r="AP58" s="45" t="s">
        <v>292</v>
      </c>
      <c r="AQ58" s="53" t="s">
        <v>297</v>
      </c>
      <c r="AR58" s="56">
        <v>195</v>
      </c>
      <c r="AS58" s="57">
        <v>51</v>
      </c>
      <c r="AT58" s="56">
        <v>65</v>
      </c>
      <c r="AU58" s="57">
        <v>27756</v>
      </c>
      <c r="AV58" s="57">
        <v>9388</v>
      </c>
      <c r="AW58" s="57">
        <v>4745</v>
      </c>
      <c r="AX58" s="57">
        <v>0</v>
      </c>
      <c r="AY58" s="57">
        <v>30</v>
      </c>
      <c r="AZ58" s="57">
        <v>0</v>
      </c>
      <c r="BA58" s="57">
        <v>778</v>
      </c>
      <c r="BB58" s="57">
        <v>257</v>
      </c>
      <c r="BC58" s="57">
        <v>385</v>
      </c>
      <c r="BD58" s="57">
        <v>0</v>
      </c>
      <c r="BE58" s="57">
        <v>1067</v>
      </c>
      <c r="BF58" s="57">
        <v>560</v>
      </c>
      <c r="BG58" s="57">
        <v>1389</v>
      </c>
      <c r="BH58" s="57">
        <v>573</v>
      </c>
      <c r="BI58" s="57">
        <v>536</v>
      </c>
      <c r="BJ58" s="57" t="s">
        <v>297</v>
      </c>
      <c r="BK58" s="57">
        <v>11</v>
      </c>
      <c r="BL58" s="57">
        <v>0</v>
      </c>
      <c r="BM58" s="57">
        <v>0</v>
      </c>
      <c r="BN58" s="57">
        <v>989</v>
      </c>
      <c r="BO58" s="57">
        <v>575</v>
      </c>
      <c r="BP58" s="57">
        <v>51</v>
      </c>
      <c r="BQ58" s="76">
        <v>309</v>
      </c>
      <c r="BR58" s="76">
        <v>304</v>
      </c>
      <c r="BS58">
        <v>294</v>
      </c>
      <c r="BT58">
        <v>294</v>
      </c>
      <c r="BU58">
        <v>290</v>
      </c>
      <c r="BV58">
        <v>36862</v>
      </c>
      <c r="BW58">
        <v>36739</v>
      </c>
      <c r="BX58">
        <v>36493</v>
      </c>
      <c r="BY58">
        <v>35806</v>
      </c>
      <c r="BZ58">
        <v>35285</v>
      </c>
      <c r="CA58">
        <v>123</v>
      </c>
      <c r="CB58">
        <v>117</v>
      </c>
      <c r="CC58">
        <v>108</v>
      </c>
      <c r="CD58">
        <v>103</v>
      </c>
      <c r="CE58">
        <v>66</v>
      </c>
      <c r="CF58">
        <v>12249</v>
      </c>
      <c r="CG58">
        <v>11851</v>
      </c>
      <c r="CH58">
        <v>11835</v>
      </c>
      <c r="CI58">
        <v>9570</v>
      </c>
      <c r="CJ58">
        <v>5541</v>
      </c>
      <c r="CK58" s="10">
        <v>109</v>
      </c>
      <c r="CL58" s="10">
        <v>109</v>
      </c>
      <c r="CM58" s="10">
        <v>109</v>
      </c>
      <c r="CN58" s="11">
        <v>27.34</v>
      </c>
      <c r="CO58" s="11">
        <v>27.34</v>
      </c>
      <c r="CP58" s="11">
        <v>27.34</v>
      </c>
      <c r="CQ58" s="13">
        <v>20</v>
      </c>
      <c r="CR58" s="13">
        <v>16</v>
      </c>
      <c r="CS58" s="13">
        <v>0</v>
      </c>
      <c r="CT58" s="10">
        <v>0</v>
      </c>
      <c r="CU58" s="10">
        <v>0</v>
      </c>
      <c r="CV58" s="10">
        <v>1</v>
      </c>
      <c r="CW58" s="10">
        <v>0</v>
      </c>
      <c r="CX58" s="10">
        <v>6</v>
      </c>
      <c r="CY58" s="10">
        <v>0</v>
      </c>
      <c r="CZ58" s="10">
        <v>0</v>
      </c>
      <c r="DA58" s="10">
        <v>0</v>
      </c>
      <c r="DB58" s="10">
        <v>0</v>
      </c>
      <c r="DC58" s="10">
        <v>0</v>
      </c>
      <c r="DD58" s="10">
        <v>0</v>
      </c>
      <c r="DE58" s="10">
        <v>0</v>
      </c>
      <c r="DF58" s="10">
        <v>0</v>
      </c>
      <c r="DG58" s="10">
        <v>10</v>
      </c>
      <c r="DH58" s="10">
        <v>0</v>
      </c>
      <c r="DI58" s="81">
        <v>0</v>
      </c>
      <c r="DJ58" s="81">
        <v>0</v>
      </c>
      <c r="DK58" s="81">
        <v>54</v>
      </c>
      <c r="DL58" s="81">
        <v>0</v>
      </c>
      <c r="DM58" s="81">
        <v>0</v>
      </c>
      <c r="DN58" s="12">
        <v>0</v>
      </c>
      <c r="DO58" s="12">
        <v>0</v>
      </c>
      <c r="DP58" s="12">
        <v>16</v>
      </c>
      <c r="DQ58" s="12">
        <v>0</v>
      </c>
      <c r="DR58" s="12">
        <v>0</v>
      </c>
      <c r="DS58" s="12">
        <v>0</v>
      </c>
      <c r="DT58" s="12">
        <v>0</v>
      </c>
      <c r="DU58" s="12">
        <v>0</v>
      </c>
      <c r="DV58" s="12">
        <v>1</v>
      </c>
      <c r="DW58" s="12">
        <v>3</v>
      </c>
      <c r="DX58" s="12">
        <v>0</v>
      </c>
      <c r="DY58" s="12">
        <v>30</v>
      </c>
      <c r="DZ58" s="12">
        <v>0</v>
      </c>
      <c r="EA58" s="12">
        <v>0</v>
      </c>
      <c r="EB58" s="12">
        <v>10</v>
      </c>
      <c r="EC58" s="12">
        <v>0</v>
      </c>
      <c r="ED58" s="12">
        <v>0</v>
      </c>
      <c r="EE58" s="12">
        <v>0</v>
      </c>
      <c r="EF58" s="12">
        <v>0</v>
      </c>
      <c r="EG58" s="12">
        <v>0</v>
      </c>
      <c r="EH58" s="12">
        <v>0</v>
      </c>
      <c r="EI58" s="12">
        <v>0</v>
      </c>
      <c r="EJ58" s="12">
        <v>0</v>
      </c>
      <c r="EK58" s="12">
        <v>0</v>
      </c>
      <c r="EL58" s="12">
        <v>6</v>
      </c>
      <c r="EM58" s="12">
        <v>0</v>
      </c>
      <c r="EN58" s="12">
        <v>9</v>
      </c>
      <c r="EO58" s="12">
        <v>0</v>
      </c>
      <c r="EP58" s="12">
        <v>0</v>
      </c>
      <c r="EQ58" s="12">
        <v>0</v>
      </c>
      <c r="ER58" s="12">
        <v>0</v>
      </c>
      <c r="ES58" s="13">
        <v>13</v>
      </c>
      <c r="ET58" s="13">
        <v>13</v>
      </c>
      <c r="EU58" s="13">
        <v>0</v>
      </c>
      <c r="EV58" s="10">
        <v>0</v>
      </c>
      <c r="EW58" s="10">
        <v>0</v>
      </c>
      <c r="EX58" s="10">
        <v>0</v>
      </c>
      <c r="EY58" s="10">
        <v>0</v>
      </c>
      <c r="EZ58" s="10">
        <v>0</v>
      </c>
      <c r="FA58" s="10">
        <v>0</v>
      </c>
      <c r="FB58" s="10">
        <v>0</v>
      </c>
      <c r="FC58" s="10">
        <v>0</v>
      </c>
      <c r="FD58" s="10">
        <v>0</v>
      </c>
      <c r="FE58" s="10">
        <v>0</v>
      </c>
      <c r="FF58" s="10">
        <v>0</v>
      </c>
      <c r="FG58" s="10">
        <v>0</v>
      </c>
      <c r="FH58" s="10">
        <v>0</v>
      </c>
      <c r="FI58" s="10">
        <v>0</v>
      </c>
      <c r="FJ58" s="10">
        <v>0</v>
      </c>
      <c r="FK58" s="81">
        <v>0</v>
      </c>
      <c r="FL58" s="81">
        <v>0</v>
      </c>
      <c r="FM58" s="81">
        <v>0</v>
      </c>
      <c r="FN58" s="81">
        <v>0</v>
      </c>
      <c r="FO58" s="81">
        <v>0</v>
      </c>
      <c r="FP58" s="12">
        <v>0</v>
      </c>
      <c r="FQ58" s="12">
        <v>0</v>
      </c>
      <c r="FR58" s="12">
        <v>12</v>
      </c>
      <c r="FS58" s="12">
        <v>0</v>
      </c>
      <c r="FT58" s="12">
        <v>0</v>
      </c>
      <c r="FU58" s="12">
        <v>0</v>
      </c>
      <c r="FV58" s="12">
        <v>0</v>
      </c>
      <c r="FW58" s="12">
        <v>0</v>
      </c>
      <c r="FX58" s="12">
        <v>0</v>
      </c>
      <c r="FY58" s="12">
        <v>0</v>
      </c>
      <c r="FZ58" s="12">
        <v>0</v>
      </c>
      <c r="GA58" s="12">
        <v>12</v>
      </c>
      <c r="GB58" s="12">
        <v>0</v>
      </c>
      <c r="GC58" s="12">
        <v>0</v>
      </c>
      <c r="GD58" s="12">
        <v>0</v>
      </c>
      <c r="GE58" s="12">
        <v>0</v>
      </c>
      <c r="GF58" s="12">
        <v>0</v>
      </c>
      <c r="GG58" s="12">
        <v>0</v>
      </c>
      <c r="GH58" s="12">
        <v>0</v>
      </c>
      <c r="GI58" s="12">
        <v>0</v>
      </c>
      <c r="GJ58" s="12">
        <v>0</v>
      </c>
      <c r="GK58" s="12">
        <v>0</v>
      </c>
      <c r="GL58" s="12">
        <v>0</v>
      </c>
      <c r="GM58" s="12">
        <v>0</v>
      </c>
      <c r="GN58" s="12">
        <v>0</v>
      </c>
      <c r="GO58" s="12">
        <v>0</v>
      </c>
      <c r="GP58" s="12">
        <v>0</v>
      </c>
      <c r="GQ58" s="12">
        <v>0</v>
      </c>
      <c r="GR58" s="12">
        <v>0</v>
      </c>
      <c r="GS58" s="12">
        <v>0</v>
      </c>
      <c r="GT58" s="12">
        <v>0</v>
      </c>
      <c r="GU58" s="13">
        <v>51</v>
      </c>
      <c r="GV58" s="13">
        <v>6</v>
      </c>
      <c r="GW58" s="13">
        <v>15</v>
      </c>
      <c r="GX58" s="13">
        <v>0</v>
      </c>
      <c r="GY58" s="10">
        <v>0</v>
      </c>
      <c r="GZ58" s="10">
        <v>0</v>
      </c>
      <c r="HA58" s="10">
        <v>1</v>
      </c>
      <c r="HB58" s="10">
        <v>0</v>
      </c>
      <c r="HC58" s="10">
        <v>10</v>
      </c>
      <c r="HD58" s="10">
        <v>0</v>
      </c>
      <c r="HE58" s="10">
        <v>0</v>
      </c>
      <c r="HF58" s="10">
        <v>0</v>
      </c>
      <c r="HG58" s="10">
        <v>0</v>
      </c>
      <c r="HH58" s="10">
        <v>0</v>
      </c>
      <c r="HI58" s="10">
        <v>0</v>
      </c>
      <c r="HJ58" s="10">
        <v>0</v>
      </c>
      <c r="HK58" s="10">
        <v>0</v>
      </c>
      <c r="HL58" s="10">
        <v>0</v>
      </c>
      <c r="HM58" s="10">
        <v>0</v>
      </c>
      <c r="HN58" s="81">
        <v>0</v>
      </c>
      <c r="HO58" s="81">
        <v>0</v>
      </c>
      <c r="HP58" s="81">
        <v>23</v>
      </c>
      <c r="HQ58" s="81">
        <v>0</v>
      </c>
      <c r="HR58" s="81">
        <v>0</v>
      </c>
      <c r="HS58" s="12">
        <v>0</v>
      </c>
      <c r="HT58" s="12">
        <v>0</v>
      </c>
      <c r="HU58" s="12">
        <v>0</v>
      </c>
      <c r="HV58" s="12">
        <v>0</v>
      </c>
      <c r="HW58" s="12">
        <v>0</v>
      </c>
      <c r="HX58" s="12">
        <v>0</v>
      </c>
      <c r="HY58" s="12">
        <v>0</v>
      </c>
      <c r="HZ58" s="12">
        <v>0</v>
      </c>
      <c r="IA58" s="12">
        <v>0</v>
      </c>
      <c r="IB58" s="12">
        <v>0</v>
      </c>
      <c r="IC58" s="12">
        <v>0</v>
      </c>
      <c r="ID58" s="12">
        <v>0</v>
      </c>
      <c r="IE58" s="12">
        <v>0</v>
      </c>
      <c r="IF58" s="12">
        <v>0</v>
      </c>
      <c r="IG58" s="12">
        <v>0</v>
      </c>
      <c r="IH58" s="12">
        <v>0</v>
      </c>
      <c r="II58" s="12">
        <v>0</v>
      </c>
      <c r="IJ58" s="12">
        <v>0</v>
      </c>
      <c r="IK58" s="12">
        <v>0</v>
      </c>
      <c r="IL58" s="12">
        <v>0</v>
      </c>
      <c r="IM58" s="12">
        <v>0</v>
      </c>
      <c r="IN58" s="12">
        <v>0</v>
      </c>
      <c r="IO58" s="12">
        <v>0</v>
      </c>
      <c r="IP58" s="12">
        <v>0</v>
      </c>
      <c r="IQ58" s="12">
        <v>0</v>
      </c>
      <c r="IR58" s="12">
        <v>0</v>
      </c>
      <c r="IS58" s="12">
        <v>4</v>
      </c>
      <c r="IT58" s="12">
        <v>0</v>
      </c>
      <c r="IU58" s="12">
        <v>0</v>
      </c>
      <c r="IV58" s="12">
        <v>0</v>
      </c>
      <c r="IW58" s="12">
        <v>0</v>
      </c>
      <c r="IX58" s="11">
        <v>42000</v>
      </c>
      <c r="IY58" s="11">
        <v>42000</v>
      </c>
      <c r="IZ58" s="11">
        <v>0</v>
      </c>
      <c r="JA58" s="85">
        <v>0</v>
      </c>
      <c r="JB58" s="85">
        <v>1</v>
      </c>
      <c r="JC58" s="85">
        <v>0</v>
      </c>
      <c r="JD58" s="12">
        <v>11</v>
      </c>
      <c r="JE58" s="12">
        <v>4</v>
      </c>
      <c r="JF58" s="12">
        <v>11</v>
      </c>
      <c r="JG58" s="12">
        <v>3</v>
      </c>
      <c r="JH58" s="12">
        <v>11</v>
      </c>
      <c r="JI58" s="12">
        <v>3</v>
      </c>
      <c r="JJ58" s="13" t="s">
        <v>619</v>
      </c>
      <c r="JK58" s="13" t="s">
        <v>619</v>
      </c>
      <c r="JL58" s="13" t="s">
        <v>296</v>
      </c>
      <c r="JM58" s="89"/>
      <c r="JN58" s="89"/>
      <c r="JO58" s="89" t="s">
        <v>296</v>
      </c>
      <c r="JP58" s="89"/>
      <c r="JQ58" s="89"/>
      <c r="JR58" s="89" t="s">
        <v>296</v>
      </c>
      <c r="JS58" s="89" t="s">
        <v>619</v>
      </c>
      <c r="JT58" s="89" t="s">
        <v>619</v>
      </c>
      <c r="JU58" s="89" t="s">
        <v>296</v>
      </c>
      <c r="JV58" s="89"/>
      <c r="JW58" s="89"/>
      <c r="JX58" s="89" t="s">
        <v>297</v>
      </c>
      <c r="JY58" s="12" t="s">
        <v>34</v>
      </c>
      <c r="JZ58" s="12" t="s">
        <v>34</v>
      </c>
      <c r="KA58" s="12" t="s">
        <v>34</v>
      </c>
      <c r="KB58" s="12" t="s">
        <v>34</v>
      </c>
      <c r="KC58" s="12" t="s">
        <v>619</v>
      </c>
      <c r="KD58" s="12" t="s">
        <v>34</v>
      </c>
      <c r="KE58" s="12" t="s">
        <v>34</v>
      </c>
      <c r="KF58" s="12"/>
      <c r="KG58" s="12" t="s">
        <v>34</v>
      </c>
      <c r="KH58" s="12" t="s">
        <v>34</v>
      </c>
      <c r="KI58" s="12" t="s">
        <v>34</v>
      </c>
      <c r="KJ58" s="12" t="s">
        <v>34</v>
      </c>
      <c r="KK58" s="12" t="s">
        <v>34</v>
      </c>
      <c r="KL58" s="12" t="s">
        <v>34</v>
      </c>
      <c r="KM58" s="12" t="s">
        <v>34</v>
      </c>
      <c r="KN58" s="12" t="s">
        <v>34</v>
      </c>
      <c r="KO58" s="12" t="s">
        <v>34</v>
      </c>
      <c r="KP58" s="12" t="s">
        <v>34</v>
      </c>
      <c r="KQ58" s="12" t="s">
        <v>619</v>
      </c>
      <c r="KR58" s="12" t="s">
        <v>34</v>
      </c>
      <c r="KS58" s="12" t="s">
        <v>34</v>
      </c>
      <c r="KT58" s="12" t="s">
        <v>34</v>
      </c>
      <c r="KU58" s="12" t="s">
        <v>34</v>
      </c>
      <c r="KV58" s="12" t="s">
        <v>34</v>
      </c>
      <c r="KW58" s="12" t="s">
        <v>34</v>
      </c>
      <c r="KX58" s="12" t="s">
        <v>34</v>
      </c>
      <c r="KY58" s="12" t="s">
        <v>34</v>
      </c>
      <c r="KZ58" s="12" t="s">
        <v>34</v>
      </c>
      <c r="LA58" s="12" t="s">
        <v>619</v>
      </c>
      <c r="LB58" s="12" t="s">
        <v>619</v>
      </c>
      <c r="LC58" s="12" t="s">
        <v>34</v>
      </c>
      <c r="LD58" s="12" t="s">
        <v>619</v>
      </c>
      <c r="LE58" s="12" t="s">
        <v>34</v>
      </c>
      <c r="LF58" s="12" t="s">
        <v>34</v>
      </c>
      <c r="LG58" s="12" t="s">
        <v>34</v>
      </c>
      <c r="LH58" s="12" t="s">
        <v>34</v>
      </c>
      <c r="LI58" s="12" t="s">
        <v>619</v>
      </c>
      <c r="LJ58" s="12" t="s">
        <v>34</v>
      </c>
      <c r="LK58" s="12" t="s">
        <v>34</v>
      </c>
      <c r="LL58" s="13" t="s">
        <v>34</v>
      </c>
      <c r="LM58" s="13" t="s">
        <v>34</v>
      </c>
      <c r="LN58" s="13" t="s">
        <v>34</v>
      </c>
      <c r="LO58" s="13" t="s">
        <v>34</v>
      </c>
      <c r="LP58" s="90" t="s">
        <v>34</v>
      </c>
      <c r="LQ58" s="13" t="s">
        <v>34</v>
      </c>
      <c r="LR58" s="13" t="s">
        <v>34</v>
      </c>
      <c r="LS58" s="13"/>
      <c r="LT58" s="13" t="s">
        <v>34</v>
      </c>
      <c r="LU58" s="13" t="s">
        <v>34</v>
      </c>
      <c r="LV58" s="13" t="s">
        <v>34</v>
      </c>
      <c r="LW58" s="13" t="s">
        <v>34</v>
      </c>
      <c r="LX58" s="13" t="s">
        <v>34</v>
      </c>
      <c r="LY58" s="13" t="s">
        <v>34</v>
      </c>
      <c r="LZ58" s="13" t="s">
        <v>34</v>
      </c>
      <c r="MA58" s="13" t="s">
        <v>34</v>
      </c>
      <c r="MB58" s="13" t="s">
        <v>34</v>
      </c>
      <c r="MC58" s="13" t="s">
        <v>34</v>
      </c>
      <c r="MD58" s="13" t="s">
        <v>34</v>
      </c>
      <c r="ME58" s="13" t="s">
        <v>34</v>
      </c>
      <c r="MF58" s="13" t="s">
        <v>34</v>
      </c>
      <c r="MG58" s="13" t="s">
        <v>34</v>
      </c>
      <c r="MH58" s="13" t="s">
        <v>34</v>
      </c>
      <c r="MI58" s="13" t="s">
        <v>34</v>
      </c>
      <c r="MJ58" s="13" t="s">
        <v>34</v>
      </c>
      <c r="MK58" s="13" t="s">
        <v>34</v>
      </c>
      <c r="ML58" s="13" t="s">
        <v>34</v>
      </c>
      <c r="MM58" s="13" t="s">
        <v>34</v>
      </c>
      <c r="MN58" s="13" t="s">
        <v>34</v>
      </c>
      <c r="MO58" s="13" t="s">
        <v>34</v>
      </c>
      <c r="MP58" s="13" t="s">
        <v>34</v>
      </c>
      <c r="MQ58" s="13" t="s">
        <v>34</v>
      </c>
      <c r="MR58" s="13" t="s">
        <v>34</v>
      </c>
      <c r="MS58" s="13" t="s">
        <v>34</v>
      </c>
      <c r="MT58" s="13" t="s">
        <v>34</v>
      </c>
      <c r="MU58" s="13" t="s">
        <v>34</v>
      </c>
      <c r="MV58" s="13" t="s">
        <v>34</v>
      </c>
      <c r="MW58" s="13" t="s">
        <v>34</v>
      </c>
      <c r="MX58" s="13" t="s">
        <v>34</v>
      </c>
      <c r="MY58" s="28" t="s">
        <v>296</v>
      </c>
      <c r="MZ58" s="28" t="s">
        <v>296</v>
      </c>
      <c r="NA58" s="28" t="s">
        <v>296</v>
      </c>
      <c r="NB58" s="28" t="s">
        <v>296</v>
      </c>
      <c r="NC58" s="28" t="s">
        <v>296</v>
      </c>
      <c r="ND58" s="28" t="s">
        <v>296</v>
      </c>
      <c r="NE58" s="28" t="s">
        <v>296</v>
      </c>
      <c r="NF58" s="28" t="s">
        <v>296</v>
      </c>
      <c r="NG58" s="28" t="s">
        <v>297</v>
      </c>
      <c r="NH58" s="28" t="s">
        <v>297</v>
      </c>
      <c r="NI58" s="177" t="s">
        <v>296</v>
      </c>
      <c r="NJ58" s="177" t="s">
        <v>297</v>
      </c>
      <c r="NK58" s="177" t="s">
        <v>296</v>
      </c>
      <c r="NL58" s="177" t="s">
        <v>296</v>
      </c>
      <c r="NM58" s="177" t="s">
        <v>296</v>
      </c>
      <c r="NN58" s="177" t="s">
        <v>296</v>
      </c>
      <c r="NO58" s="177" t="s">
        <v>296</v>
      </c>
      <c r="NP58" s="177" t="s">
        <v>297</v>
      </c>
      <c r="NQ58" s="177" t="s">
        <v>296</v>
      </c>
      <c r="NR58" s="12" t="s">
        <v>34</v>
      </c>
      <c r="NS58" s="13" t="s">
        <v>34</v>
      </c>
    </row>
    <row r="59" spans="1:383" x14ac:dyDescent="0.25">
      <c r="A59" s="8" t="s">
        <v>158</v>
      </c>
      <c r="B59" s="9" t="s">
        <v>159</v>
      </c>
      <c r="C59" s="9">
        <v>44</v>
      </c>
      <c r="D59" s="9" t="s">
        <v>51</v>
      </c>
      <c r="E59" s="10">
        <v>237</v>
      </c>
      <c r="F59" s="10">
        <v>236</v>
      </c>
      <c r="G59" s="10">
        <v>233</v>
      </c>
      <c r="H59" s="10">
        <v>229</v>
      </c>
      <c r="I59" s="10">
        <v>190</v>
      </c>
      <c r="J59" s="11">
        <v>1221</v>
      </c>
      <c r="K59" s="14">
        <v>1235</v>
      </c>
      <c r="L59" s="14">
        <v>1219</v>
      </c>
      <c r="M59" s="14">
        <v>1135</v>
      </c>
      <c r="N59" s="14">
        <v>765</v>
      </c>
      <c r="O59" s="13">
        <v>20755</v>
      </c>
      <c r="P59" s="13">
        <v>20436</v>
      </c>
      <c r="Q59" s="13">
        <v>21384</v>
      </c>
      <c r="R59" s="13">
        <v>19668</v>
      </c>
      <c r="S59" s="13">
        <v>13087</v>
      </c>
      <c r="T59" s="12">
        <v>2116</v>
      </c>
      <c r="U59" s="12">
        <v>2280</v>
      </c>
      <c r="V59" s="12">
        <v>2222</v>
      </c>
      <c r="W59" s="12">
        <v>2061</v>
      </c>
      <c r="X59" s="12">
        <v>1214</v>
      </c>
      <c r="Y59" s="12">
        <v>5.15</v>
      </c>
      <c r="Z59" s="12">
        <v>5.15</v>
      </c>
      <c r="AA59" s="12">
        <v>5.15</v>
      </c>
      <c r="AB59" s="13">
        <v>4.75</v>
      </c>
      <c r="AC59" s="13">
        <v>4.75</v>
      </c>
      <c r="AD59" s="13">
        <v>4.75</v>
      </c>
      <c r="AE59" s="35" t="s">
        <v>258</v>
      </c>
      <c r="AF59" s="35" t="s">
        <v>258</v>
      </c>
      <c r="AG59" s="35" t="s">
        <v>258</v>
      </c>
      <c r="AH59" s="38">
        <v>1</v>
      </c>
      <c r="AI59" s="38">
        <v>1</v>
      </c>
      <c r="AJ59" s="38">
        <v>1</v>
      </c>
      <c r="AK59" s="45" t="s">
        <v>34</v>
      </c>
      <c r="AL59" s="45" t="s">
        <v>34</v>
      </c>
      <c r="AM59" s="45" t="s">
        <v>34</v>
      </c>
      <c r="AN59" s="45" t="s">
        <v>34</v>
      </c>
      <c r="AO59" s="45" t="s">
        <v>34</v>
      </c>
      <c r="AP59" s="45" t="s">
        <v>34</v>
      </c>
      <c r="AQ59" s="53" t="s">
        <v>297</v>
      </c>
      <c r="AR59" s="56">
        <v>381</v>
      </c>
      <c r="AS59" s="57">
        <v>91</v>
      </c>
      <c r="AT59" s="56">
        <v>12</v>
      </c>
      <c r="AU59" s="57">
        <v>49082</v>
      </c>
      <c r="AV59" s="57">
        <v>6874</v>
      </c>
      <c r="AW59" s="57">
        <v>2290</v>
      </c>
      <c r="AX59" s="57">
        <v>62</v>
      </c>
      <c r="AY59" s="57">
        <v>24</v>
      </c>
      <c r="AZ59" s="57">
        <v>4</v>
      </c>
      <c r="BA59" s="57">
        <v>4468</v>
      </c>
      <c r="BB59" s="57">
        <v>11858</v>
      </c>
      <c r="BC59" s="57">
        <v>10309</v>
      </c>
      <c r="BD59" s="57">
        <v>1696</v>
      </c>
      <c r="BE59" s="57">
        <v>3371</v>
      </c>
      <c r="BF59" s="57">
        <v>2268</v>
      </c>
      <c r="BG59" s="57">
        <v>15</v>
      </c>
      <c r="BH59" s="57">
        <v>103</v>
      </c>
      <c r="BI59" s="57">
        <v>62</v>
      </c>
      <c r="BJ59" s="57" t="s">
        <v>297</v>
      </c>
      <c r="BK59" s="57">
        <v>0</v>
      </c>
      <c r="BL59" s="57">
        <v>1</v>
      </c>
      <c r="BM59" s="57">
        <v>0</v>
      </c>
      <c r="BN59" s="57">
        <v>1500</v>
      </c>
      <c r="BO59" s="57">
        <v>1200</v>
      </c>
      <c r="BP59" s="57">
        <v>500</v>
      </c>
      <c r="BQ59" s="76">
        <v>1010</v>
      </c>
      <c r="BR59" s="76">
        <v>1002</v>
      </c>
      <c r="BS59">
        <v>960</v>
      </c>
      <c r="BT59">
        <v>960</v>
      </c>
      <c r="BU59">
        <v>956</v>
      </c>
      <c r="BV59">
        <v>92705</v>
      </c>
      <c r="BW59">
        <v>92420</v>
      </c>
      <c r="BX59">
        <v>91876</v>
      </c>
      <c r="BY59">
        <v>91478</v>
      </c>
      <c r="BZ59">
        <v>90240</v>
      </c>
      <c r="CA59">
        <v>366</v>
      </c>
      <c r="CB59">
        <v>340</v>
      </c>
      <c r="CC59">
        <v>303</v>
      </c>
      <c r="CD59">
        <v>300</v>
      </c>
      <c r="CE59">
        <v>186</v>
      </c>
      <c r="CF59">
        <v>22871</v>
      </c>
      <c r="CG59">
        <v>22716</v>
      </c>
      <c r="CH59">
        <v>23606</v>
      </c>
      <c r="CI59">
        <v>21729</v>
      </c>
      <c r="CJ59">
        <v>14301</v>
      </c>
      <c r="CK59" s="10">
        <v>21.5</v>
      </c>
      <c r="CL59" s="10">
        <v>21.5</v>
      </c>
      <c r="CM59" s="10">
        <v>21.5</v>
      </c>
      <c r="CN59" s="14">
        <v>18</v>
      </c>
      <c r="CO59" s="14">
        <v>18</v>
      </c>
      <c r="CP59" s="14">
        <v>18</v>
      </c>
      <c r="CQ59" s="13">
        <v>44</v>
      </c>
      <c r="CR59" s="13">
        <v>25</v>
      </c>
      <c r="CS59" s="13">
        <v>9</v>
      </c>
      <c r="CT59" s="10">
        <v>0</v>
      </c>
      <c r="CU59" s="10">
        <v>0</v>
      </c>
      <c r="CV59" s="10">
        <v>34</v>
      </c>
      <c r="CW59" s="10">
        <v>6</v>
      </c>
      <c r="CX59" s="10">
        <v>3</v>
      </c>
      <c r="CY59" s="10">
        <v>0</v>
      </c>
      <c r="CZ59" s="10">
        <v>0</v>
      </c>
      <c r="DA59" s="10">
        <v>1</v>
      </c>
      <c r="DB59" s="10">
        <v>0</v>
      </c>
      <c r="DC59" s="10">
        <v>0</v>
      </c>
      <c r="DD59" s="10">
        <v>0</v>
      </c>
      <c r="DE59" s="10">
        <v>1</v>
      </c>
      <c r="DF59" s="10">
        <v>3</v>
      </c>
      <c r="DG59" s="10">
        <v>0</v>
      </c>
      <c r="DH59" s="10">
        <v>22</v>
      </c>
      <c r="DI59" s="81">
        <v>3</v>
      </c>
      <c r="DJ59" s="81">
        <v>3</v>
      </c>
      <c r="DK59" s="81">
        <v>19</v>
      </c>
      <c r="DL59" s="81">
        <v>0</v>
      </c>
      <c r="DM59" s="81">
        <v>7</v>
      </c>
      <c r="DN59" s="12">
        <v>15</v>
      </c>
      <c r="DO59" s="12">
        <v>0</v>
      </c>
      <c r="DP59" s="12">
        <v>6</v>
      </c>
      <c r="DQ59" s="12">
        <v>0</v>
      </c>
      <c r="DR59" s="12">
        <v>4</v>
      </c>
      <c r="DS59" s="12">
        <v>0</v>
      </c>
      <c r="DT59" s="12">
        <v>0</v>
      </c>
      <c r="DU59" s="12">
        <v>0</v>
      </c>
      <c r="DV59" s="12">
        <v>0</v>
      </c>
      <c r="DW59" s="12">
        <v>14</v>
      </c>
      <c r="DX59" s="12">
        <v>2</v>
      </c>
      <c r="DY59" s="12">
        <v>24</v>
      </c>
      <c r="DZ59" s="12">
        <v>3</v>
      </c>
      <c r="EA59" s="12">
        <v>0</v>
      </c>
      <c r="EB59" s="12">
        <v>8</v>
      </c>
      <c r="EC59" s="12">
        <v>1</v>
      </c>
      <c r="ED59" s="12">
        <v>6</v>
      </c>
      <c r="EE59" s="12">
        <v>8</v>
      </c>
      <c r="EF59" s="12">
        <v>1</v>
      </c>
      <c r="EG59" s="12">
        <v>2</v>
      </c>
      <c r="EH59" s="12">
        <v>1</v>
      </c>
      <c r="EI59" s="12">
        <v>0</v>
      </c>
      <c r="EJ59" s="12">
        <v>1</v>
      </c>
      <c r="EK59" s="12">
        <v>0</v>
      </c>
      <c r="EL59" s="12">
        <v>1</v>
      </c>
      <c r="EM59" s="12">
        <v>0</v>
      </c>
      <c r="EN59" s="12">
        <v>12</v>
      </c>
      <c r="EO59" s="12">
        <v>5</v>
      </c>
      <c r="EP59" s="12">
        <v>1</v>
      </c>
      <c r="EQ59" s="12">
        <v>2</v>
      </c>
      <c r="ER59" s="12">
        <v>4</v>
      </c>
      <c r="ES59" s="13">
        <v>2</v>
      </c>
      <c r="ET59" s="13">
        <v>12</v>
      </c>
      <c r="EU59" s="13">
        <v>1</v>
      </c>
      <c r="EV59" s="10">
        <v>0</v>
      </c>
      <c r="EW59" s="10">
        <v>0</v>
      </c>
      <c r="EX59" s="10">
        <v>2</v>
      </c>
      <c r="EY59" s="10">
        <v>2</v>
      </c>
      <c r="EZ59" s="10">
        <v>1</v>
      </c>
      <c r="FA59" s="10">
        <v>0</v>
      </c>
      <c r="FB59" s="10">
        <v>0</v>
      </c>
      <c r="FC59" s="10">
        <v>1</v>
      </c>
      <c r="FD59" s="10">
        <v>0</v>
      </c>
      <c r="FE59" s="10">
        <v>0</v>
      </c>
      <c r="FF59" s="10">
        <v>0</v>
      </c>
      <c r="FG59" s="10">
        <v>0</v>
      </c>
      <c r="FH59" s="10">
        <v>0</v>
      </c>
      <c r="FI59" s="10">
        <v>0</v>
      </c>
      <c r="FJ59" s="10">
        <v>28</v>
      </c>
      <c r="FK59" s="81">
        <v>0</v>
      </c>
      <c r="FL59" s="81">
        <v>0</v>
      </c>
      <c r="FM59" s="81">
        <v>7</v>
      </c>
      <c r="FN59" s="81">
        <v>0</v>
      </c>
      <c r="FO59" s="81">
        <v>0</v>
      </c>
      <c r="FP59" s="12">
        <v>2</v>
      </c>
      <c r="FQ59" s="12">
        <v>0</v>
      </c>
      <c r="FR59" s="12">
        <v>1</v>
      </c>
      <c r="FS59" s="12">
        <v>0</v>
      </c>
      <c r="FT59" s="12">
        <v>2</v>
      </c>
      <c r="FU59" s="12">
        <v>0</v>
      </c>
      <c r="FV59" s="12">
        <v>0</v>
      </c>
      <c r="FW59" s="12">
        <v>0</v>
      </c>
      <c r="FX59" s="12">
        <v>3</v>
      </c>
      <c r="FY59" s="12">
        <v>3</v>
      </c>
      <c r="FZ59" s="12">
        <v>0</v>
      </c>
      <c r="GA59" s="12">
        <v>2</v>
      </c>
      <c r="GB59" s="12">
        <v>1</v>
      </c>
      <c r="GC59" s="12">
        <v>0</v>
      </c>
      <c r="GD59" s="12">
        <v>5</v>
      </c>
      <c r="GE59" s="12">
        <v>0</v>
      </c>
      <c r="GF59" s="12">
        <v>4</v>
      </c>
      <c r="GG59" s="12">
        <v>1</v>
      </c>
      <c r="GH59" s="12">
        <v>0</v>
      </c>
      <c r="GI59" s="12">
        <v>1</v>
      </c>
      <c r="GJ59" s="12">
        <v>0</v>
      </c>
      <c r="GK59" s="12">
        <v>0</v>
      </c>
      <c r="GL59" s="12">
        <v>0</v>
      </c>
      <c r="GM59" s="12">
        <v>0</v>
      </c>
      <c r="GN59" s="12">
        <v>0</v>
      </c>
      <c r="GO59" s="12">
        <v>0</v>
      </c>
      <c r="GP59" s="12">
        <v>1</v>
      </c>
      <c r="GQ59" s="12">
        <v>0</v>
      </c>
      <c r="GR59" s="12">
        <v>0</v>
      </c>
      <c r="GS59" s="12">
        <v>0</v>
      </c>
      <c r="GT59" s="12">
        <v>0</v>
      </c>
      <c r="GU59" s="13">
        <v>91</v>
      </c>
      <c r="GV59" s="13">
        <v>3</v>
      </c>
      <c r="GW59" s="13">
        <v>3</v>
      </c>
      <c r="GX59" s="13">
        <v>0</v>
      </c>
      <c r="GY59" s="10">
        <v>0</v>
      </c>
      <c r="GZ59" s="10">
        <v>0</v>
      </c>
      <c r="HA59" s="10">
        <v>1</v>
      </c>
      <c r="HB59" s="10">
        <v>1</v>
      </c>
      <c r="HC59" s="10">
        <v>0</v>
      </c>
      <c r="HD59" s="10">
        <v>0</v>
      </c>
      <c r="HE59" s="10">
        <v>0</v>
      </c>
      <c r="HF59" s="10">
        <v>0</v>
      </c>
      <c r="HG59" s="10">
        <v>0</v>
      </c>
      <c r="HH59" s="10">
        <v>0</v>
      </c>
      <c r="HI59" s="10">
        <v>0</v>
      </c>
      <c r="HJ59" s="10">
        <v>0</v>
      </c>
      <c r="HK59" s="10">
        <v>0</v>
      </c>
      <c r="HL59" s="10">
        <v>0</v>
      </c>
      <c r="HM59" s="10">
        <v>0</v>
      </c>
      <c r="HN59" s="81">
        <v>0</v>
      </c>
      <c r="HO59" s="81">
        <v>0</v>
      </c>
      <c r="HP59" s="81">
        <v>0</v>
      </c>
      <c r="HQ59" s="81">
        <v>0</v>
      </c>
      <c r="HR59" s="81">
        <v>1</v>
      </c>
      <c r="HS59" s="12">
        <v>1</v>
      </c>
      <c r="HT59" s="12">
        <v>0</v>
      </c>
      <c r="HU59" s="12">
        <v>1</v>
      </c>
      <c r="HV59" s="12">
        <v>0</v>
      </c>
      <c r="HW59" s="12">
        <v>1</v>
      </c>
      <c r="HX59" s="12">
        <v>0</v>
      </c>
      <c r="HY59" s="12">
        <v>0</v>
      </c>
      <c r="HZ59" s="12">
        <v>0</v>
      </c>
      <c r="IA59" s="12">
        <v>0</v>
      </c>
      <c r="IB59" s="12">
        <v>1</v>
      </c>
      <c r="IC59" s="12">
        <v>1</v>
      </c>
      <c r="ID59" s="12">
        <v>1</v>
      </c>
      <c r="IE59" s="12">
        <v>0</v>
      </c>
      <c r="IF59" s="12">
        <v>0</v>
      </c>
      <c r="IG59" s="12">
        <v>0</v>
      </c>
      <c r="IH59" s="12">
        <v>0</v>
      </c>
      <c r="II59" s="12">
        <v>0</v>
      </c>
      <c r="IJ59" s="12">
        <v>1</v>
      </c>
      <c r="IK59" s="12">
        <v>0</v>
      </c>
      <c r="IL59" s="12">
        <v>0</v>
      </c>
      <c r="IM59" s="12">
        <v>0</v>
      </c>
      <c r="IN59" s="12">
        <v>0</v>
      </c>
      <c r="IO59" s="12">
        <v>0</v>
      </c>
      <c r="IP59" s="12">
        <v>0</v>
      </c>
      <c r="IQ59" s="12">
        <v>1</v>
      </c>
      <c r="IR59" s="12">
        <v>0</v>
      </c>
      <c r="IS59" s="12">
        <v>0</v>
      </c>
      <c r="IT59" s="12">
        <v>1</v>
      </c>
      <c r="IU59" s="12">
        <v>0</v>
      </c>
      <c r="IV59" s="12">
        <v>0</v>
      </c>
      <c r="IW59" s="12">
        <v>1</v>
      </c>
      <c r="IX59" s="14">
        <v>70000</v>
      </c>
      <c r="IY59" s="14">
        <v>70000</v>
      </c>
      <c r="IZ59" s="14">
        <v>80000</v>
      </c>
      <c r="JA59" s="85">
        <v>1</v>
      </c>
      <c r="JB59" s="85">
        <v>0</v>
      </c>
      <c r="JC59" s="85">
        <v>0</v>
      </c>
      <c r="JD59" s="12">
        <v>21</v>
      </c>
      <c r="JE59" s="12">
        <v>21</v>
      </c>
      <c r="JF59" s="12">
        <v>21</v>
      </c>
      <c r="JG59" s="12">
        <v>19</v>
      </c>
      <c r="JH59" s="12">
        <v>21</v>
      </c>
      <c r="JI59" s="12">
        <v>18</v>
      </c>
      <c r="JJ59" s="13" t="s">
        <v>619</v>
      </c>
      <c r="JK59" s="13" t="s">
        <v>619</v>
      </c>
      <c r="JL59" s="13" t="s">
        <v>296</v>
      </c>
      <c r="JM59" s="89"/>
      <c r="JN59" s="89"/>
      <c r="JO59" s="89" t="s">
        <v>296</v>
      </c>
      <c r="JP59" s="89"/>
      <c r="JQ59" s="89"/>
      <c r="JR59" s="89" t="s">
        <v>296</v>
      </c>
      <c r="JS59" s="89" t="s">
        <v>619</v>
      </c>
      <c r="JT59" s="89" t="s">
        <v>619</v>
      </c>
      <c r="JU59" s="89" t="s">
        <v>296</v>
      </c>
      <c r="JV59" s="89"/>
      <c r="JW59" s="89"/>
      <c r="JX59" s="89" t="s">
        <v>297</v>
      </c>
      <c r="JY59" s="12" t="s">
        <v>619</v>
      </c>
      <c r="JZ59" s="12" t="s">
        <v>34</v>
      </c>
      <c r="KA59" s="12" t="s">
        <v>619</v>
      </c>
      <c r="KB59" s="12" t="s">
        <v>34</v>
      </c>
      <c r="KC59" s="12" t="s">
        <v>619</v>
      </c>
      <c r="KD59" s="12" t="s">
        <v>34</v>
      </c>
      <c r="KE59" s="12" t="s">
        <v>34</v>
      </c>
      <c r="KF59" s="12"/>
      <c r="KG59" s="12" t="s">
        <v>34</v>
      </c>
      <c r="KH59" s="12" t="s">
        <v>34</v>
      </c>
      <c r="KI59" s="12" t="s">
        <v>34</v>
      </c>
      <c r="KJ59" s="12" t="s">
        <v>619</v>
      </c>
      <c r="KK59" s="12" t="s">
        <v>34</v>
      </c>
      <c r="KL59" s="12" t="s">
        <v>34</v>
      </c>
      <c r="KM59" s="12" t="s">
        <v>34</v>
      </c>
      <c r="KN59" s="12" t="s">
        <v>619</v>
      </c>
      <c r="KO59" s="12" t="s">
        <v>619</v>
      </c>
      <c r="KP59" s="12" t="s">
        <v>619</v>
      </c>
      <c r="KQ59" s="12" t="s">
        <v>619</v>
      </c>
      <c r="KR59" s="12" t="s">
        <v>34</v>
      </c>
      <c r="KS59" s="12" t="s">
        <v>34</v>
      </c>
      <c r="KT59" s="12" t="s">
        <v>619</v>
      </c>
      <c r="KU59" s="12" t="s">
        <v>34</v>
      </c>
      <c r="KV59" s="12" t="s">
        <v>619</v>
      </c>
      <c r="KW59" s="12" t="s">
        <v>34</v>
      </c>
      <c r="KX59" s="12" t="s">
        <v>34</v>
      </c>
      <c r="KY59" s="12" t="s">
        <v>619</v>
      </c>
      <c r="KZ59" s="12" t="s">
        <v>34</v>
      </c>
      <c r="LA59" s="12" t="s">
        <v>34</v>
      </c>
      <c r="LB59" s="12" t="s">
        <v>619</v>
      </c>
      <c r="LC59" s="12" t="s">
        <v>34</v>
      </c>
      <c r="LD59" s="12" t="s">
        <v>619</v>
      </c>
      <c r="LE59" s="12" t="s">
        <v>619</v>
      </c>
      <c r="LF59" s="12" t="s">
        <v>34</v>
      </c>
      <c r="LG59" s="12" t="s">
        <v>34</v>
      </c>
      <c r="LH59" s="12" t="s">
        <v>34</v>
      </c>
      <c r="LI59" s="12" t="s">
        <v>619</v>
      </c>
      <c r="LJ59" s="12" t="s">
        <v>619</v>
      </c>
      <c r="LK59" s="12" t="s">
        <v>619</v>
      </c>
      <c r="LL59" s="13" t="s">
        <v>619</v>
      </c>
      <c r="LM59" s="13" t="s">
        <v>34</v>
      </c>
      <c r="LN59" s="13" t="s">
        <v>619</v>
      </c>
      <c r="LO59" s="13" t="s">
        <v>34</v>
      </c>
      <c r="LP59" s="90" t="s">
        <v>619</v>
      </c>
      <c r="LQ59" s="13" t="s">
        <v>34</v>
      </c>
      <c r="LR59" s="13" t="s">
        <v>34</v>
      </c>
      <c r="LS59" s="13"/>
      <c r="LT59" s="13" t="s">
        <v>34</v>
      </c>
      <c r="LU59" s="13" t="s">
        <v>34</v>
      </c>
      <c r="LV59" s="13" t="s">
        <v>34</v>
      </c>
      <c r="LW59" s="13" t="s">
        <v>619</v>
      </c>
      <c r="LX59" s="13" t="s">
        <v>34</v>
      </c>
      <c r="LY59" s="13" t="s">
        <v>34</v>
      </c>
      <c r="LZ59" s="13" t="s">
        <v>34</v>
      </c>
      <c r="MA59" s="13" t="s">
        <v>619</v>
      </c>
      <c r="MB59" s="13" t="s">
        <v>619</v>
      </c>
      <c r="MC59" s="13" t="s">
        <v>619</v>
      </c>
      <c r="MD59" s="13" t="s">
        <v>619</v>
      </c>
      <c r="ME59" s="13" t="s">
        <v>34</v>
      </c>
      <c r="MF59" s="13" t="s">
        <v>34</v>
      </c>
      <c r="MG59" s="13" t="s">
        <v>619</v>
      </c>
      <c r="MH59" s="13" t="s">
        <v>34</v>
      </c>
      <c r="MI59" s="13" t="s">
        <v>619</v>
      </c>
      <c r="MJ59" s="13" t="s">
        <v>34</v>
      </c>
      <c r="MK59" s="13" t="s">
        <v>34</v>
      </c>
      <c r="ML59" s="13" t="s">
        <v>34</v>
      </c>
      <c r="MM59" s="13" t="s">
        <v>34</v>
      </c>
      <c r="MN59" s="13" t="s">
        <v>34</v>
      </c>
      <c r="MO59" s="13" t="s">
        <v>619</v>
      </c>
      <c r="MP59" s="13" t="s">
        <v>34</v>
      </c>
      <c r="MQ59" s="13" t="s">
        <v>619</v>
      </c>
      <c r="MR59" s="13" t="s">
        <v>619</v>
      </c>
      <c r="MS59" s="13" t="s">
        <v>34</v>
      </c>
      <c r="MT59" s="13" t="s">
        <v>34</v>
      </c>
      <c r="MU59" s="13" t="s">
        <v>34</v>
      </c>
      <c r="MV59" s="13" t="s">
        <v>34</v>
      </c>
      <c r="MW59" s="13" t="s">
        <v>34</v>
      </c>
      <c r="MX59" s="13" t="s">
        <v>619</v>
      </c>
      <c r="MY59" s="28" t="s">
        <v>296</v>
      </c>
      <c r="MZ59" s="28" t="s">
        <v>296</v>
      </c>
      <c r="NA59" s="28" t="s">
        <v>296</v>
      </c>
      <c r="NB59" s="28" t="s">
        <v>296</v>
      </c>
      <c r="NC59" s="28" t="s">
        <v>296</v>
      </c>
      <c r="ND59" s="28" t="s">
        <v>297</v>
      </c>
      <c r="NE59" s="28" t="s">
        <v>296</v>
      </c>
      <c r="NF59" s="28" t="s">
        <v>297</v>
      </c>
      <c r="NG59" s="28" t="s">
        <v>297</v>
      </c>
      <c r="NH59" s="28" t="s">
        <v>297</v>
      </c>
      <c r="NI59" s="177" t="s">
        <v>296</v>
      </c>
      <c r="NJ59" s="177" t="s">
        <v>297</v>
      </c>
      <c r="NK59" s="177" t="s">
        <v>297</v>
      </c>
      <c r="NL59" s="177" t="s">
        <v>297</v>
      </c>
      <c r="NM59" s="177" t="s">
        <v>296</v>
      </c>
      <c r="NN59" s="177" t="s">
        <v>296</v>
      </c>
      <c r="NO59" s="177" t="s">
        <v>296</v>
      </c>
      <c r="NP59" s="177" t="s">
        <v>296</v>
      </c>
      <c r="NQ59" s="177" t="s">
        <v>296</v>
      </c>
      <c r="NR59" s="12" t="s">
        <v>34</v>
      </c>
      <c r="NS59" s="13" t="s">
        <v>34</v>
      </c>
    </row>
    <row r="60" spans="1:383" x14ac:dyDescent="0.25">
      <c r="A60" s="8" t="s">
        <v>160</v>
      </c>
      <c r="B60" s="9" t="s">
        <v>161</v>
      </c>
      <c r="C60" s="9">
        <v>27</v>
      </c>
      <c r="D60" s="9" t="s">
        <v>80</v>
      </c>
      <c r="E60" s="10">
        <v>58</v>
      </c>
      <c r="F60" s="10">
        <v>61</v>
      </c>
      <c r="G60" s="10">
        <v>61</v>
      </c>
      <c r="H60" s="10">
        <v>64</v>
      </c>
      <c r="I60" s="10">
        <v>57</v>
      </c>
      <c r="J60" s="11">
        <v>497</v>
      </c>
      <c r="K60" s="11">
        <v>770</v>
      </c>
      <c r="L60" s="11">
        <v>532</v>
      </c>
      <c r="M60" s="11">
        <v>500</v>
      </c>
      <c r="N60" s="11">
        <v>420</v>
      </c>
      <c r="O60" s="13">
        <v>2263</v>
      </c>
      <c r="P60" s="13">
        <v>2385</v>
      </c>
      <c r="Q60" s="13">
        <v>2165</v>
      </c>
      <c r="R60" s="13">
        <v>2378</v>
      </c>
      <c r="S60" s="13">
        <v>1505</v>
      </c>
      <c r="T60" s="12">
        <v>744</v>
      </c>
      <c r="U60" s="12">
        <v>659</v>
      </c>
      <c r="V60" s="12">
        <v>650</v>
      </c>
      <c r="W60" s="12">
        <v>500</v>
      </c>
      <c r="X60" s="12">
        <v>320</v>
      </c>
      <c r="Y60" s="12">
        <v>10</v>
      </c>
      <c r="Z60" s="12">
        <v>10</v>
      </c>
      <c r="AA60" s="12">
        <v>10</v>
      </c>
      <c r="AB60" s="13">
        <v>8.6</v>
      </c>
      <c r="AC60" s="13">
        <v>8.6</v>
      </c>
      <c r="AD60" s="13">
        <v>8.6</v>
      </c>
      <c r="AE60" s="35" t="s">
        <v>258</v>
      </c>
      <c r="AF60" s="35" t="s">
        <v>258</v>
      </c>
      <c r="AG60" s="35" t="s">
        <v>258</v>
      </c>
      <c r="AH60" s="38">
        <v>1</v>
      </c>
      <c r="AI60" s="38">
        <v>1</v>
      </c>
      <c r="AJ60" s="38">
        <v>1</v>
      </c>
      <c r="AK60" s="45" t="s">
        <v>34</v>
      </c>
      <c r="AL60" s="45" t="s">
        <v>34</v>
      </c>
      <c r="AM60" s="45" t="s">
        <v>34</v>
      </c>
      <c r="AN60" s="45" t="s">
        <v>34</v>
      </c>
      <c r="AO60" s="45" t="s">
        <v>34</v>
      </c>
      <c r="AP60" s="45" t="s">
        <v>292</v>
      </c>
      <c r="AQ60" s="53" t="s">
        <v>297</v>
      </c>
      <c r="AR60" s="56">
        <v>152</v>
      </c>
      <c r="AS60" s="57">
        <v>67</v>
      </c>
      <c r="AT60" s="56">
        <v>10</v>
      </c>
      <c r="AU60" s="57">
        <v>10669</v>
      </c>
      <c r="AV60" s="57">
        <v>5859</v>
      </c>
      <c r="AW60" s="57">
        <v>713</v>
      </c>
      <c r="AX60" s="57">
        <v>27</v>
      </c>
      <c r="AY60" s="57">
        <v>14</v>
      </c>
      <c r="AZ60" s="57">
        <v>5</v>
      </c>
      <c r="BA60" s="57">
        <v>2140</v>
      </c>
      <c r="BB60" s="57">
        <v>3853</v>
      </c>
      <c r="BC60" s="57">
        <v>5366</v>
      </c>
      <c r="BD60" s="57">
        <v>760</v>
      </c>
      <c r="BE60" s="57">
        <v>2295</v>
      </c>
      <c r="BF60" s="57">
        <v>3890</v>
      </c>
      <c r="BG60" s="57">
        <v>274</v>
      </c>
      <c r="BH60" s="57">
        <v>214</v>
      </c>
      <c r="BI60" s="57">
        <v>121</v>
      </c>
      <c r="BJ60" s="57" t="s">
        <v>297</v>
      </c>
      <c r="BK60" s="57">
        <v>9</v>
      </c>
      <c r="BL60" s="57">
        <v>0</v>
      </c>
      <c r="BM60" s="57">
        <v>0</v>
      </c>
      <c r="BN60" s="57">
        <v>0</v>
      </c>
      <c r="BO60" s="57">
        <v>720</v>
      </c>
      <c r="BP60" s="57">
        <v>68</v>
      </c>
      <c r="BQ60" s="76">
        <v>204</v>
      </c>
      <c r="BR60" s="76">
        <v>201</v>
      </c>
      <c r="BS60">
        <v>200</v>
      </c>
      <c r="BT60">
        <v>200</v>
      </c>
      <c r="BU60">
        <v>200</v>
      </c>
      <c r="BV60">
        <v>15661</v>
      </c>
      <c r="BW60">
        <v>15313</v>
      </c>
      <c r="BX60">
        <v>14948</v>
      </c>
      <c r="BY60">
        <v>14626</v>
      </c>
      <c r="BZ60">
        <v>14230</v>
      </c>
      <c r="CA60">
        <v>75</v>
      </c>
      <c r="CB60">
        <v>76</v>
      </c>
      <c r="CC60">
        <v>72</v>
      </c>
      <c r="CD60">
        <v>75</v>
      </c>
      <c r="CE60">
        <v>68</v>
      </c>
      <c r="CF60">
        <v>3007</v>
      </c>
      <c r="CG60">
        <v>3044</v>
      </c>
      <c r="CH60">
        <v>2815</v>
      </c>
      <c r="CI60">
        <v>2878</v>
      </c>
      <c r="CJ60">
        <v>1825</v>
      </c>
      <c r="CK60" s="10">
        <v>49.5</v>
      </c>
      <c r="CL60" s="10">
        <v>49.5</v>
      </c>
      <c r="CM60" s="10">
        <v>49.5</v>
      </c>
      <c r="CN60" s="11">
        <v>21.4</v>
      </c>
      <c r="CO60" s="11">
        <v>21.4</v>
      </c>
      <c r="CP60" s="11">
        <v>21.4</v>
      </c>
      <c r="CQ60" s="13">
        <v>16</v>
      </c>
      <c r="CR60" s="13">
        <v>10</v>
      </c>
      <c r="CS60" s="13">
        <v>4</v>
      </c>
      <c r="CT60" s="10">
        <v>0</v>
      </c>
      <c r="CU60" s="10">
        <v>2</v>
      </c>
      <c r="CV60" s="10">
        <v>6</v>
      </c>
      <c r="CW60" s="10">
        <v>24</v>
      </c>
      <c r="CX60" s="10">
        <v>5</v>
      </c>
      <c r="CY60" s="10">
        <v>0</v>
      </c>
      <c r="CZ60" s="10">
        <v>0</v>
      </c>
      <c r="DA60" s="10">
        <v>0</v>
      </c>
      <c r="DB60" s="10">
        <v>3</v>
      </c>
      <c r="DC60" s="10">
        <v>0</v>
      </c>
      <c r="DD60" s="10">
        <v>1</v>
      </c>
      <c r="DE60" s="10">
        <v>0</v>
      </c>
      <c r="DF60" s="10">
        <v>1</v>
      </c>
      <c r="DG60" s="10">
        <v>0</v>
      </c>
      <c r="DH60" s="10">
        <v>2</v>
      </c>
      <c r="DI60" s="81">
        <v>2</v>
      </c>
      <c r="DJ60" s="81">
        <v>22</v>
      </c>
      <c r="DK60" s="81">
        <v>11</v>
      </c>
      <c r="DL60" s="81">
        <v>5</v>
      </c>
      <c r="DM60" s="81">
        <v>9</v>
      </c>
      <c r="DN60" s="12">
        <v>0</v>
      </c>
      <c r="DO60" s="12">
        <v>0</v>
      </c>
      <c r="DP60" s="12">
        <v>0</v>
      </c>
      <c r="DQ60" s="12">
        <v>0</v>
      </c>
      <c r="DR60" s="12">
        <v>0</v>
      </c>
      <c r="DS60" s="12">
        <v>2</v>
      </c>
      <c r="DT60" s="12">
        <v>2</v>
      </c>
      <c r="DU60" s="12">
        <v>0</v>
      </c>
      <c r="DV60" s="12">
        <v>8</v>
      </c>
      <c r="DW60" s="12">
        <v>13</v>
      </c>
      <c r="DX60" s="12">
        <v>0</v>
      </c>
      <c r="DY60" s="12">
        <v>1</v>
      </c>
      <c r="DZ60" s="12">
        <v>1</v>
      </c>
      <c r="EA60" s="12">
        <v>0</v>
      </c>
      <c r="EB60" s="12">
        <v>20</v>
      </c>
      <c r="EC60" s="12">
        <v>0</v>
      </c>
      <c r="ED60" s="12">
        <v>12</v>
      </c>
      <c r="EE60" s="12">
        <v>2</v>
      </c>
      <c r="EF60" s="12">
        <v>1</v>
      </c>
      <c r="EG60" s="12">
        <v>0</v>
      </c>
      <c r="EH60" s="12">
        <v>0</v>
      </c>
      <c r="EI60" s="12">
        <v>1</v>
      </c>
      <c r="EJ60" s="12">
        <v>0</v>
      </c>
      <c r="EK60" s="12">
        <v>0</v>
      </c>
      <c r="EL60" s="12">
        <v>0</v>
      </c>
      <c r="EM60" s="12">
        <v>0</v>
      </c>
      <c r="EN60" s="12">
        <v>1</v>
      </c>
      <c r="EO60" s="12">
        <v>0</v>
      </c>
      <c r="EP60" s="12">
        <v>1</v>
      </c>
      <c r="EQ60" s="12">
        <v>1</v>
      </c>
      <c r="ER60" s="12">
        <v>0</v>
      </c>
      <c r="ES60" s="13">
        <v>7</v>
      </c>
      <c r="ET60" s="13">
        <v>6</v>
      </c>
      <c r="EU60" s="13">
        <v>4</v>
      </c>
      <c r="EV60" s="10">
        <v>0</v>
      </c>
      <c r="EW60" s="10">
        <v>0</v>
      </c>
      <c r="EX60" s="10">
        <v>0</v>
      </c>
      <c r="EY60" s="10">
        <v>4</v>
      </c>
      <c r="EZ60" s="10">
        <v>0</v>
      </c>
      <c r="FA60" s="10">
        <v>0</v>
      </c>
      <c r="FB60" s="10">
        <v>0</v>
      </c>
      <c r="FC60" s="10">
        <v>0</v>
      </c>
      <c r="FD60" s="10">
        <v>0</v>
      </c>
      <c r="FE60" s="10">
        <v>0</v>
      </c>
      <c r="FF60" s="10">
        <v>0</v>
      </c>
      <c r="FG60" s="10">
        <v>0</v>
      </c>
      <c r="FH60" s="10">
        <v>0</v>
      </c>
      <c r="FI60" s="10">
        <v>0</v>
      </c>
      <c r="FJ60" s="10">
        <v>1</v>
      </c>
      <c r="FK60" s="81">
        <v>5</v>
      </c>
      <c r="FL60" s="81">
        <v>0</v>
      </c>
      <c r="FM60" s="81">
        <v>2</v>
      </c>
      <c r="FN60" s="81">
        <v>0</v>
      </c>
      <c r="FO60" s="81">
        <v>15</v>
      </c>
      <c r="FP60" s="12">
        <v>0</v>
      </c>
      <c r="FQ60" s="12">
        <v>0</v>
      </c>
      <c r="FR60" s="12">
        <v>1</v>
      </c>
      <c r="FS60" s="12">
        <v>0</v>
      </c>
      <c r="FT60" s="12">
        <v>0</v>
      </c>
      <c r="FU60" s="12">
        <v>0</v>
      </c>
      <c r="FV60" s="12">
        <v>0</v>
      </c>
      <c r="FW60" s="12">
        <v>0</v>
      </c>
      <c r="FX60" s="12">
        <v>2</v>
      </c>
      <c r="FY60" s="12">
        <v>0</v>
      </c>
      <c r="FZ60" s="12">
        <v>0</v>
      </c>
      <c r="GA60" s="12">
        <v>0</v>
      </c>
      <c r="GB60" s="12">
        <v>7</v>
      </c>
      <c r="GC60" s="12">
        <v>0</v>
      </c>
      <c r="GD60" s="12">
        <v>7</v>
      </c>
      <c r="GE60" s="12">
        <v>0</v>
      </c>
      <c r="GF60" s="12">
        <v>1</v>
      </c>
      <c r="GG60" s="12">
        <v>0</v>
      </c>
      <c r="GH60" s="12">
        <v>3</v>
      </c>
      <c r="GI60" s="12">
        <v>0</v>
      </c>
      <c r="GJ60" s="12">
        <v>0</v>
      </c>
      <c r="GK60" s="12">
        <v>9</v>
      </c>
      <c r="GL60" s="12">
        <v>1</v>
      </c>
      <c r="GM60" s="12">
        <v>0</v>
      </c>
      <c r="GN60" s="12">
        <v>12</v>
      </c>
      <c r="GO60" s="12">
        <v>0</v>
      </c>
      <c r="GP60" s="12">
        <v>15</v>
      </c>
      <c r="GQ60" s="12">
        <v>0</v>
      </c>
      <c r="GR60" s="12">
        <v>0</v>
      </c>
      <c r="GS60" s="12">
        <v>0</v>
      </c>
      <c r="GT60" s="12">
        <v>0</v>
      </c>
      <c r="GU60" s="13">
        <v>67</v>
      </c>
      <c r="GV60" s="13">
        <v>2</v>
      </c>
      <c r="GW60" s="13">
        <v>1</v>
      </c>
      <c r="GX60" s="13">
        <v>0</v>
      </c>
      <c r="GY60" s="10">
        <v>0</v>
      </c>
      <c r="GZ60" s="10">
        <v>0</v>
      </c>
      <c r="HA60" s="10">
        <v>2</v>
      </c>
      <c r="HB60" s="10">
        <v>1</v>
      </c>
      <c r="HC60" s="10">
        <v>1</v>
      </c>
      <c r="HD60" s="10">
        <v>0</v>
      </c>
      <c r="HE60" s="10">
        <v>0</v>
      </c>
      <c r="HF60" s="10">
        <v>0</v>
      </c>
      <c r="HG60" s="10">
        <v>0</v>
      </c>
      <c r="HH60" s="10">
        <v>0</v>
      </c>
      <c r="HI60" s="10">
        <v>1</v>
      </c>
      <c r="HJ60" s="10">
        <v>0</v>
      </c>
      <c r="HK60" s="10">
        <v>4</v>
      </c>
      <c r="HL60" s="10">
        <v>0</v>
      </c>
      <c r="HM60" s="10">
        <v>1</v>
      </c>
      <c r="HN60" s="81">
        <v>0</v>
      </c>
      <c r="HO60" s="81">
        <v>0</v>
      </c>
      <c r="HP60" s="81">
        <v>0</v>
      </c>
      <c r="HQ60" s="81">
        <v>0</v>
      </c>
      <c r="HR60" s="81">
        <v>0</v>
      </c>
      <c r="HS60" s="12">
        <v>0</v>
      </c>
      <c r="HT60" s="12">
        <v>0</v>
      </c>
      <c r="HU60" s="12">
        <v>1</v>
      </c>
      <c r="HV60" s="12">
        <v>0</v>
      </c>
      <c r="HW60" s="12">
        <v>0</v>
      </c>
      <c r="HX60" s="12">
        <v>0</v>
      </c>
      <c r="HY60" s="12">
        <v>0</v>
      </c>
      <c r="HZ60" s="12">
        <v>0</v>
      </c>
      <c r="IA60" s="12">
        <v>0</v>
      </c>
      <c r="IB60" s="12">
        <v>1</v>
      </c>
      <c r="IC60" s="12">
        <v>0</v>
      </c>
      <c r="ID60" s="12">
        <v>1</v>
      </c>
      <c r="IE60" s="12">
        <v>0</v>
      </c>
      <c r="IF60" s="12">
        <v>0</v>
      </c>
      <c r="IG60" s="12">
        <v>1</v>
      </c>
      <c r="IH60" s="12">
        <v>0</v>
      </c>
      <c r="II60" s="12">
        <v>1</v>
      </c>
      <c r="IJ60" s="12">
        <v>0</v>
      </c>
      <c r="IK60" s="12">
        <v>0</v>
      </c>
      <c r="IL60" s="12">
        <v>0</v>
      </c>
      <c r="IM60" s="12">
        <v>0</v>
      </c>
      <c r="IN60" s="12">
        <v>0</v>
      </c>
      <c r="IO60" s="12">
        <v>0</v>
      </c>
      <c r="IP60" s="12">
        <v>0</v>
      </c>
      <c r="IQ60" s="12">
        <v>0</v>
      </c>
      <c r="IR60" s="12">
        <v>0</v>
      </c>
      <c r="IS60" s="12">
        <v>1</v>
      </c>
      <c r="IT60" s="12">
        <v>1</v>
      </c>
      <c r="IU60" s="12">
        <v>0</v>
      </c>
      <c r="IV60" s="12">
        <v>0</v>
      </c>
      <c r="IW60" s="12">
        <v>0</v>
      </c>
      <c r="IX60" s="11">
        <v>20500</v>
      </c>
      <c r="IY60" s="11">
        <v>18500</v>
      </c>
      <c r="IZ60" s="11">
        <v>18500</v>
      </c>
      <c r="JA60" s="85" t="s">
        <v>604</v>
      </c>
      <c r="JB60" s="85">
        <v>1</v>
      </c>
      <c r="JC60" s="85">
        <v>0</v>
      </c>
      <c r="JD60" s="12">
        <v>5</v>
      </c>
      <c r="JE60" s="12">
        <v>4</v>
      </c>
      <c r="JF60" s="12">
        <v>5</v>
      </c>
      <c r="JG60" s="12">
        <v>5</v>
      </c>
      <c r="JH60" s="12">
        <v>5</v>
      </c>
      <c r="JI60" s="12">
        <v>5</v>
      </c>
      <c r="JJ60" s="13" t="s">
        <v>619</v>
      </c>
      <c r="JK60" s="13" t="s">
        <v>619</v>
      </c>
      <c r="JL60" s="13" t="s">
        <v>296</v>
      </c>
      <c r="JM60" s="89"/>
      <c r="JN60" s="89"/>
      <c r="JO60" s="89" t="s">
        <v>296</v>
      </c>
      <c r="JP60" s="89"/>
      <c r="JQ60" s="89"/>
      <c r="JR60" s="89" t="s">
        <v>296</v>
      </c>
      <c r="JS60" s="89" t="s">
        <v>620</v>
      </c>
      <c r="JT60" s="89" t="s">
        <v>619</v>
      </c>
      <c r="JU60" s="89" t="s">
        <v>296</v>
      </c>
      <c r="JV60" s="89"/>
      <c r="JW60" s="89"/>
      <c r="JX60" s="89" t="s">
        <v>297</v>
      </c>
      <c r="JY60" s="12" t="s">
        <v>34</v>
      </c>
      <c r="JZ60" s="12" t="s">
        <v>34</v>
      </c>
      <c r="KA60" s="12" t="s">
        <v>34</v>
      </c>
      <c r="KB60" s="12" t="s">
        <v>34</v>
      </c>
      <c r="KC60" s="12" t="s">
        <v>34</v>
      </c>
      <c r="KD60" s="12" t="s">
        <v>619</v>
      </c>
      <c r="KE60" s="12" t="s">
        <v>34</v>
      </c>
      <c r="KF60" s="12"/>
      <c r="KG60" s="12" t="s">
        <v>34</v>
      </c>
      <c r="KH60" s="12" t="s">
        <v>34</v>
      </c>
      <c r="KI60" s="12" t="s">
        <v>34</v>
      </c>
      <c r="KJ60" s="12" t="s">
        <v>34</v>
      </c>
      <c r="KK60" s="12" t="s">
        <v>34</v>
      </c>
      <c r="KL60" s="12" t="s">
        <v>34</v>
      </c>
      <c r="KM60" s="12" t="s">
        <v>619</v>
      </c>
      <c r="KN60" s="12" t="s">
        <v>619</v>
      </c>
      <c r="KO60" s="12" t="s">
        <v>34</v>
      </c>
      <c r="KP60" s="12" t="s">
        <v>34</v>
      </c>
      <c r="KQ60" s="12" t="s">
        <v>34</v>
      </c>
      <c r="KR60" s="12" t="s">
        <v>619</v>
      </c>
      <c r="KS60" s="12" t="s">
        <v>34</v>
      </c>
      <c r="KT60" s="12" t="s">
        <v>34</v>
      </c>
      <c r="KU60" s="12" t="s">
        <v>34</v>
      </c>
      <c r="KV60" s="12" t="s">
        <v>34</v>
      </c>
      <c r="KW60" s="12" t="s">
        <v>34</v>
      </c>
      <c r="KX60" s="12" t="s">
        <v>34</v>
      </c>
      <c r="KY60" s="12" t="s">
        <v>34</v>
      </c>
      <c r="KZ60" s="12" t="s">
        <v>34</v>
      </c>
      <c r="LA60" s="12" t="s">
        <v>34</v>
      </c>
      <c r="LB60" s="12" t="s">
        <v>34</v>
      </c>
      <c r="LC60" s="12" t="s">
        <v>34</v>
      </c>
      <c r="LD60" s="12" t="s">
        <v>34</v>
      </c>
      <c r="LE60" s="12" t="s">
        <v>34</v>
      </c>
      <c r="LF60" s="12" t="s">
        <v>34</v>
      </c>
      <c r="LG60" s="12" t="s">
        <v>34</v>
      </c>
      <c r="LH60" s="12" t="s">
        <v>619</v>
      </c>
      <c r="LI60" s="12" t="s">
        <v>619</v>
      </c>
      <c r="LJ60" s="12" t="s">
        <v>34</v>
      </c>
      <c r="LK60" s="12" t="s">
        <v>34</v>
      </c>
      <c r="LL60" s="13" t="s">
        <v>34</v>
      </c>
      <c r="LM60" s="13" t="s">
        <v>34</v>
      </c>
      <c r="LN60" s="13" t="s">
        <v>34</v>
      </c>
      <c r="LO60" s="13" t="s">
        <v>34</v>
      </c>
      <c r="LP60" s="90" t="s">
        <v>34</v>
      </c>
      <c r="LQ60" s="13" t="s">
        <v>34</v>
      </c>
      <c r="LR60" s="13" t="s">
        <v>34</v>
      </c>
      <c r="LS60" s="13"/>
      <c r="LT60" s="13" t="s">
        <v>34</v>
      </c>
      <c r="LU60" s="13" t="s">
        <v>34</v>
      </c>
      <c r="LV60" s="13" t="s">
        <v>34</v>
      </c>
      <c r="LW60" s="13" t="s">
        <v>34</v>
      </c>
      <c r="LX60" s="13" t="s">
        <v>34</v>
      </c>
      <c r="LY60" s="13" t="s">
        <v>34</v>
      </c>
      <c r="LZ60" s="13" t="s">
        <v>34</v>
      </c>
      <c r="MA60" s="13" t="s">
        <v>34</v>
      </c>
      <c r="MB60" s="13" t="s">
        <v>34</v>
      </c>
      <c r="MC60" s="13" t="s">
        <v>34</v>
      </c>
      <c r="MD60" s="13" t="s">
        <v>34</v>
      </c>
      <c r="ME60" s="13" t="s">
        <v>34</v>
      </c>
      <c r="MF60" s="13" t="s">
        <v>34</v>
      </c>
      <c r="MG60" s="13" t="s">
        <v>34</v>
      </c>
      <c r="MH60" s="13" t="s">
        <v>34</v>
      </c>
      <c r="MI60" s="13" t="s">
        <v>34</v>
      </c>
      <c r="MJ60" s="13" t="s">
        <v>34</v>
      </c>
      <c r="MK60" s="13" t="s">
        <v>34</v>
      </c>
      <c r="ML60" s="13" t="s">
        <v>34</v>
      </c>
      <c r="MM60" s="13" t="s">
        <v>34</v>
      </c>
      <c r="MN60" s="13" t="s">
        <v>34</v>
      </c>
      <c r="MO60" s="13" t="s">
        <v>34</v>
      </c>
      <c r="MP60" s="13" t="s">
        <v>34</v>
      </c>
      <c r="MQ60" s="13" t="s">
        <v>34</v>
      </c>
      <c r="MR60" s="13" t="s">
        <v>34</v>
      </c>
      <c r="MS60" s="13" t="s">
        <v>34</v>
      </c>
      <c r="MT60" s="13" t="s">
        <v>34</v>
      </c>
      <c r="MU60" s="13" t="s">
        <v>34</v>
      </c>
      <c r="MV60" s="13" t="s">
        <v>34</v>
      </c>
      <c r="MW60" s="13" t="s">
        <v>34</v>
      </c>
      <c r="MX60" s="13" t="s">
        <v>34</v>
      </c>
      <c r="MY60" s="28" t="s">
        <v>296</v>
      </c>
      <c r="MZ60" s="28" t="s">
        <v>296</v>
      </c>
      <c r="NA60" s="28" t="s">
        <v>296</v>
      </c>
      <c r="NB60" s="28" t="s">
        <v>296</v>
      </c>
      <c r="NC60" s="28" t="s">
        <v>296</v>
      </c>
      <c r="ND60" s="28" t="s">
        <v>296</v>
      </c>
      <c r="NE60" s="28" t="s">
        <v>296</v>
      </c>
      <c r="NF60" s="28" t="s">
        <v>297</v>
      </c>
      <c r="NG60" s="28" t="s">
        <v>297</v>
      </c>
      <c r="NH60" s="28" t="s">
        <v>297</v>
      </c>
      <c r="NI60" s="177" t="s">
        <v>296</v>
      </c>
      <c r="NJ60" s="177" t="s">
        <v>297</v>
      </c>
      <c r="NK60" s="177" t="s">
        <v>296</v>
      </c>
      <c r="NL60" s="177" t="s">
        <v>296</v>
      </c>
      <c r="NM60" s="177" t="s">
        <v>296</v>
      </c>
      <c r="NN60" s="177" t="s">
        <v>296</v>
      </c>
      <c r="NO60" s="177" t="s">
        <v>297</v>
      </c>
      <c r="NP60" s="177" t="s">
        <v>296</v>
      </c>
      <c r="NQ60" s="177" t="s">
        <v>296</v>
      </c>
      <c r="NR60" s="12" t="s">
        <v>34</v>
      </c>
      <c r="NS60" s="13" t="s">
        <v>34</v>
      </c>
    </row>
    <row r="61" spans="1:383" x14ac:dyDescent="0.25">
      <c r="A61" s="8" t="s">
        <v>162</v>
      </c>
      <c r="B61" s="9" t="s">
        <v>163</v>
      </c>
      <c r="C61" s="9">
        <v>32</v>
      </c>
      <c r="D61" s="9" t="s">
        <v>37</v>
      </c>
      <c r="E61" s="10">
        <v>307</v>
      </c>
      <c r="F61" s="10">
        <v>302</v>
      </c>
      <c r="G61" s="10">
        <v>264</v>
      </c>
      <c r="H61" s="10">
        <v>263</v>
      </c>
      <c r="I61" s="10">
        <v>160</v>
      </c>
      <c r="J61" s="11">
        <v>1970</v>
      </c>
      <c r="K61" s="14">
        <v>1842</v>
      </c>
      <c r="L61" s="14">
        <v>1722</v>
      </c>
      <c r="M61" s="14">
        <v>1615</v>
      </c>
      <c r="N61" s="14">
        <v>539</v>
      </c>
      <c r="O61" s="13">
        <v>25800</v>
      </c>
      <c r="P61" s="13">
        <v>23931</v>
      </c>
      <c r="Q61" s="13">
        <v>21778</v>
      </c>
      <c r="R61" s="13">
        <v>20805</v>
      </c>
      <c r="S61" s="13">
        <v>5571</v>
      </c>
      <c r="T61" s="12">
        <v>8424</v>
      </c>
      <c r="U61" s="12">
        <v>8272</v>
      </c>
      <c r="V61" s="12">
        <v>6985</v>
      </c>
      <c r="W61" s="12">
        <v>7481</v>
      </c>
      <c r="X61" s="12">
        <v>1109</v>
      </c>
      <c r="Y61" s="12">
        <v>3.82</v>
      </c>
      <c r="Z61" s="12">
        <v>3.83</v>
      </c>
      <c r="AA61" s="12">
        <v>3.83</v>
      </c>
      <c r="AB61" s="13">
        <v>3.82</v>
      </c>
      <c r="AC61" s="13">
        <v>3.83</v>
      </c>
      <c r="AD61" s="13">
        <v>3.83</v>
      </c>
      <c r="AE61" s="35" t="s">
        <v>258</v>
      </c>
      <c r="AF61" s="35" t="s">
        <v>258</v>
      </c>
      <c r="AG61" s="35" t="s">
        <v>258</v>
      </c>
      <c r="AH61" s="38">
        <v>1</v>
      </c>
      <c r="AI61" s="38">
        <v>1</v>
      </c>
      <c r="AJ61" s="38">
        <v>1</v>
      </c>
      <c r="AK61" s="45" t="s">
        <v>34</v>
      </c>
      <c r="AL61" s="45" t="s">
        <v>289</v>
      </c>
      <c r="AM61" s="45" t="s">
        <v>290</v>
      </c>
      <c r="AN61" s="45" t="s">
        <v>34</v>
      </c>
      <c r="AO61" s="45" t="s">
        <v>34</v>
      </c>
      <c r="AP61" s="45" t="s">
        <v>34</v>
      </c>
      <c r="AQ61" s="53" t="s">
        <v>297</v>
      </c>
      <c r="AR61" s="56">
        <v>661</v>
      </c>
      <c r="AS61" s="57">
        <v>186</v>
      </c>
      <c r="AT61" s="56">
        <v>0</v>
      </c>
      <c r="AU61" s="57">
        <v>128106</v>
      </c>
      <c r="AV61" s="57">
        <v>23657</v>
      </c>
      <c r="AW61" s="57">
        <v>0</v>
      </c>
      <c r="AX61" s="57">
        <v>30</v>
      </c>
      <c r="AY61" s="57">
        <v>1</v>
      </c>
      <c r="AZ61" s="57">
        <v>0</v>
      </c>
      <c r="BA61" s="57">
        <v>33798</v>
      </c>
      <c r="BB61" s="57">
        <v>37315</v>
      </c>
      <c r="BC61" s="57">
        <v>46961</v>
      </c>
      <c r="BD61" s="57">
        <v>3331</v>
      </c>
      <c r="BE61" s="57">
        <v>6342</v>
      </c>
      <c r="BF61" s="57">
        <v>12305</v>
      </c>
      <c r="BG61" s="57">
        <v>0</v>
      </c>
      <c r="BH61" s="57">
        <v>0</v>
      </c>
      <c r="BI61" s="57">
        <v>0</v>
      </c>
      <c r="BJ61" s="57" t="s">
        <v>297</v>
      </c>
      <c r="BK61" s="57">
        <v>46</v>
      </c>
      <c r="BL61" s="57">
        <v>0</v>
      </c>
      <c r="BM61" s="57">
        <v>0</v>
      </c>
      <c r="BN61" s="57">
        <v>670</v>
      </c>
      <c r="BO61" s="57">
        <v>1808</v>
      </c>
      <c r="BP61" s="57">
        <v>250</v>
      </c>
      <c r="BQ61" s="76">
        <v>1650</v>
      </c>
      <c r="BR61" s="76">
        <v>1629</v>
      </c>
      <c r="BS61">
        <v>1606</v>
      </c>
      <c r="BT61">
        <v>1606</v>
      </c>
      <c r="BU61">
        <v>1594</v>
      </c>
      <c r="BV61">
        <v>232207</v>
      </c>
      <c r="BW61">
        <v>230389</v>
      </c>
      <c r="BX61">
        <v>227208</v>
      </c>
      <c r="BY61">
        <v>223839</v>
      </c>
      <c r="BZ61">
        <v>220682</v>
      </c>
      <c r="CA61">
        <v>370</v>
      </c>
      <c r="CB61">
        <v>357</v>
      </c>
      <c r="CC61">
        <v>311</v>
      </c>
      <c r="CD61">
        <v>313</v>
      </c>
      <c r="CE61">
        <v>175</v>
      </c>
      <c r="CF61">
        <v>34224</v>
      </c>
      <c r="CG61">
        <v>32203</v>
      </c>
      <c r="CH61">
        <v>28763</v>
      </c>
      <c r="CI61">
        <v>28286</v>
      </c>
      <c r="CJ61">
        <v>6680</v>
      </c>
      <c r="CK61" s="10">
        <v>22</v>
      </c>
      <c r="CL61" s="10">
        <v>22.1</v>
      </c>
      <c r="CM61" s="10">
        <v>22.1</v>
      </c>
      <c r="CN61" s="14">
        <v>25.73</v>
      </c>
      <c r="CO61" s="14">
        <v>25.72</v>
      </c>
      <c r="CP61" s="14">
        <v>25.72</v>
      </c>
      <c r="CQ61" s="13">
        <v>112</v>
      </c>
      <c r="CR61" s="13">
        <v>41</v>
      </c>
      <c r="CS61" s="13">
        <v>9</v>
      </c>
      <c r="CT61" s="10">
        <v>6</v>
      </c>
      <c r="CU61" s="10">
        <v>8</v>
      </c>
      <c r="CV61" s="10">
        <v>60</v>
      </c>
      <c r="CW61" s="10">
        <v>32</v>
      </c>
      <c r="CX61" s="10">
        <v>9</v>
      </c>
      <c r="CY61" s="10">
        <v>1</v>
      </c>
      <c r="CZ61" s="10">
        <v>0</v>
      </c>
      <c r="DA61" s="10">
        <v>0</v>
      </c>
      <c r="DB61" s="10">
        <v>5</v>
      </c>
      <c r="DC61" s="10">
        <v>0</v>
      </c>
      <c r="DD61" s="10">
        <v>2</v>
      </c>
      <c r="DE61" s="10">
        <v>0</v>
      </c>
      <c r="DF61" s="10">
        <v>24</v>
      </c>
      <c r="DG61" s="10">
        <v>6</v>
      </c>
      <c r="DH61" s="10">
        <v>2</v>
      </c>
      <c r="DI61" s="81">
        <v>5</v>
      </c>
      <c r="DJ61" s="81">
        <v>14</v>
      </c>
      <c r="DK61" s="81">
        <v>23</v>
      </c>
      <c r="DL61" s="81">
        <v>2</v>
      </c>
      <c r="DM61" s="81">
        <v>38</v>
      </c>
      <c r="DN61" s="12">
        <v>13</v>
      </c>
      <c r="DO61" s="12">
        <v>1</v>
      </c>
      <c r="DP61" s="12">
        <v>23</v>
      </c>
      <c r="DQ61" s="12">
        <v>2</v>
      </c>
      <c r="DR61" s="12">
        <v>0</v>
      </c>
      <c r="DS61" s="12">
        <v>4</v>
      </c>
      <c r="DT61" s="12">
        <v>4</v>
      </c>
      <c r="DU61" s="12">
        <v>0</v>
      </c>
      <c r="DV61" s="12">
        <v>66</v>
      </c>
      <c r="DW61" s="12">
        <v>40</v>
      </c>
      <c r="DX61" s="12">
        <v>2</v>
      </c>
      <c r="DY61" s="12">
        <v>62</v>
      </c>
      <c r="DZ61" s="12">
        <v>31</v>
      </c>
      <c r="EA61" s="12">
        <v>0</v>
      </c>
      <c r="EB61" s="12">
        <v>56</v>
      </c>
      <c r="EC61" s="12">
        <v>0</v>
      </c>
      <c r="ED61" s="12">
        <v>20</v>
      </c>
      <c r="EE61" s="12">
        <v>1</v>
      </c>
      <c r="EF61" s="12">
        <v>36</v>
      </c>
      <c r="EG61" s="12">
        <v>2</v>
      </c>
      <c r="EH61" s="12">
        <v>0</v>
      </c>
      <c r="EI61" s="12">
        <v>0</v>
      </c>
      <c r="EJ61" s="12">
        <v>0</v>
      </c>
      <c r="EK61" s="12">
        <v>7</v>
      </c>
      <c r="EL61" s="12">
        <v>12</v>
      </c>
      <c r="EM61" s="12">
        <v>11</v>
      </c>
      <c r="EN61" s="12">
        <v>5</v>
      </c>
      <c r="EO61" s="12">
        <v>9</v>
      </c>
      <c r="EP61" s="12">
        <v>0</v>
      </c>
      <c r="EQ61" s="12">
        <v>21</v>
      </c>
      <c r="ER61" s="12">
        <v>2</v>
      </c>
      <c r="ES61" s="13">
        <v>49</v>
      </c>
      <c r="ET61" s="13">
        <v>14</v>
      </c>
      <c r="EU61" s="13">
        <v>9</v>
      </c>
      <c r="EV61" s="10">
        <v>1</v>
      </c>
      <c r="EW61" s="10">
        <v>1</v>
      </c>
      <c r="EX61" s="10">
        <v>1</v>
      </c>
      <c r="EY61" s="10">
        <v>1</v>
      </c>
      <c r="EZ61" s="10">
        <v>1</v>
      </c>
      <c r="FA61" s="10">
        <v>0</v>
      </c>
      <c r="FB61" s="10">
        <v>0</v>
      </c>
      <c r="FC61" s="10">
        <v>0</v>
      </c>
      <c r="FD61" s="10">
        <v>0</v>
      </c>
      <c r="FE61" s="10">
        <v>1</v>
      </c>
      <c r="FF61" s="10">
        <v>0</v>
      </c>
      <c r="FG61" s="10">
        <v>0</v>
      </c>
      <c r="FH61" s="10">
        <v>0</v>
      </c>
      <c r="FI61" s="10">
        <v>1</v>
      </c>
      <c r="FJ61" s="10">
        <v>1</v>
      </c>
      <c r="FK61" s="81">
        <v>1</v>
      </c>
      <c r="FL61" s="81">
        <v>1</v>
      </c>
      <c r="FM61" s="81">
        <v>2</v>
      </c>
      <c r="FN61" s="81">
        <v>0</v>
      </c>
      <c r="FO61" s="81">
        <v>5</v>
      </c>
      <c r="FP61" s="12">
        <v>3</v>
      </c>
      <c r="FQ61" s="12">
        <v>0</v>
      </c>
      <c r="FR61" s="12">
        <v>6</v>
      </c>
      <c r="FS61" s="12">
        <v>0</v>
      </c>
      <c r="FT61" s="12">
        <v>0</v>
      </c>
      <c r="FU61" s="12">
        <v>1</v>
      </c>
      <c r="FV61" s="12">
        <v>1</v>
      </c>
      <c r="FW61" s="12">
        <v>0</v>
      </c>
      <c r="FX61" s="12">
        <v>14</v>
      </c>
      <c r="FY61" s="12">
        <v>5</v>
      </c>
      <c r="FZ61" s="12">
        <v>0</v>
      </c>
      <c r="GA61" s="12">
        <v>18</v>
      </c>
      <c r="GB61" s="12">
        <v>5</v>
      </c>
      <c r="GC61" s="12">
        <v>0</v>
      </c>
      <c r="GD61" s="12">
        <v>5</v>
      </c>
      <c r="GE61" s="12">
        <v>0</v>
      </c>
      <c r="GF61" s="12">
        <v>0</v>
      </c>
      <c r="GG61" s="12">
        <v>2</v>
      </c>
      <c r="GH61" s="12">
        <v>8</v>
      </c>
      <c r="GI61" s="12">
        <v>1</v>
      </c>
      <c r="GJ61" s="12">
        <v>0</v>
      </c>
      <c r="GK61" s="12">
        <v>0</v>
      </c>
      <c r="GL61" s="12">
        <v>8</v>
      </c>
      <c r="GM61" s="12">
        <v>2</v>
      </c>
      <c r="GN61" s="12">
        <v>0</v>
      </c>
      <c r="GO61" s="12">
        <v>1</v>
      </c>
      <c r="GP61" s="12">
        <v>3</v>
      </c>
      <c r="GQ61" s="12">
        <v>9</v>
      </c>
      <c r="GR61" s="12">
        <v>1</v>
      </c>
      <c r="GS61" s="12">
        <v>5</v>
      </c>
      <c r="GT61" s="12">
        <v>3</v>
      </c>
      <c r="GU61" s="13">
        <v>186</v>
      </c>
      <c r="GV61" s="13">
        <v>0</v>
      </c>
      <c r="GW61" s="13">
        <v>0</v>
      </c>
      <c r="GX61" s="13">
        <v>0</v>
      </c>
      <c r="GY61" s="10">
        <v>0</v>
      </c>
      <c r="GZ61" s="10">
        <v>0</v>
      </c>
      <c r="HA61" s="10">
        <v>0</v>
      </c>
      <c r="HB61" s="10">
        <v>0</v>
      </c>
      <c r="HC61" s="10">
        <v>0</v>
      </c>
      <c r="HD61" s="10">
        <v>0</v>
      </c>
      <c r="HE61" s="10">
        <v>0</v>
      </c>
      <c r="HF61" s="10">
        <v>0</v>
      </c>
      <c r="HG61" s="10">
        <v>0</v>
      </c>
      <c r="HH61" s="10">
        <v>0</v>
      </c>
      <c r="HI61" s="10">
        <v>0</v>
      </c>
      <c r="HJ61" s="10">
        <v>0</v>
      </c>
      <c r="HK61" s="10">
        <v>0</v>
      </c>
      <c r="HL61" s="10">
        <v>0</v>
      </c>
      <c r="HM61" s="10">
        <v>0</v>
      </c>
      <c r="HN61" s="81">
        <v>0</v>
      </c>
      <c r="HO61" s="81">
        <v>0</v>
      </c>
      <c r="HP61" s="81">
        <v>0</v>
      </c>
      <c r="HQ61" s="81">
        <v>0</v>
      </c>
      <c r="HR61" s="81">
        <v>0</v>
      </c>
      <c r="HS61" s="12">
        <v>0</v>
      </c>
      <c r="HT61" s="12">
        <v>0</v>
      </c>
      <c r="HU61" s="12">
        <v>0</v>
      </c>
      <c r="HV61" s="12">
        <v>0</v>
      </c>
      <c r="HW61" s="12">
        <v>0</v>
      </c>
      <c r="HX61" s="12">
        <v>0</v>
      </c>
      <c r="HY61" s="12">
        <v>0</v>
      </c>
      <c r="HZ61" s="12">
        <v>0</v>
      </c>
      <c r="IA61" s="12">
        <v>0</v>
      </c>
      <c r="IB61" s="12">
        <v>0</v>
      </c>
      <c r="IC61" s="12">
        <v>0</v>
      </c>
      <c r="ID61" s="12">
        <v>0</v>
      </c>
      <c r="IE61" s="12">
        <v>0</v>
      </c>
      <c r="IF61" s="12">
        <v>0</v>
      </c>
      <c r="IG61" s="12">
        <v>0</v>
      </c>
      <c r="IH61" s="12">
        <v>0</v>
      </c>
      <c r="II61" s="12">
        <v>0</v>
      </c>
      <c r="IJ61" s="12">
        <v>0</v>
      </c>
      <c r="IK61" s="12">
        <v>0</v>
      </c>
      <c r="IL61" s="12">
        <v>0</v>
      </c>
      <c r="IM61" s="12">
        <v>0</v>
      </c>
      <c r="IN61" s="12">
        <v>0</v>
      </c>
      <c r="IO61" s="12">
        <v>0</v>
      </c>
      <c r="IP61" s="12">
        <v>0</v>
      </c>
      <c r="IQ61" s="12">
        <v>0</v>
      </c>
      <c r="IR61" s="12">
        <v>0</v>
      </c>
      <c r="IS61" s="12">
        <v>0</v>
      </c>
      <c r="IT61" s="12">
        <v>0</v>
      </c>
      <c r="IU61" s="12">
        <v>0</v>
      </c>
      <c r="IV61" s="12">
        <v>0</v>
      </c>
      <c r="IW61" s="12">
        <v>0</v>
      </c>
      <c r="IX61" s="14">
        <v>29000</v>
      </c>
      <c r="IY61" s="14">
        <v>29000</v>
      </c>
      <c r="IZ61" s="14">
        <v>29000</v>
      </c>
      <c r="JA61" s="85" t="s">
        <v>604</v>
      </c>
      <c r="JB61" s="85" t="s">
        <v>602</v>
      </c>
      <c r="JC61" s="85" t="s">
        <v>361</v>
      </c>
      <c r="JD61" s="12">
        <v>58</v>
      </c>
      <c r="JE61" s="12">
        <v>26</v>
      </c>
      <c r="JF61" s="12">
        <v>57</v>
      </c>
      <c r="JG61" s="12">
        <v>24</v>
      </c>
      <c r="JH61" s="12">
        <v>58</v>
      </c>
      <c r="JI61" s="12">
        <v>24</v>
      </c>
      <c r="JJ61" s="13" t="s">
        <v>620</v>
      </c>
      <c r="JK61" s="13" t="s">
        <v>619</v>
      </c>
      <c r="JL61" s="13" t="s">
        <v>297</v>
      </c>
      <c r="JM61" s="89"/>
      <c r="JN61" s="89"/>
      <c r="JO61" s="89" t="s">
        <v>296</v>
      </c>
      <c r="JP61" s="89"/>
      <c r="JQ61" s="89"/>
      <c r="JR61" s="89" t="s">
        <v>296</v>
      </c>
      <c r="JS61" s="89" t="s">
        <v>619</v>
      </c>
      <c r="JT61" s="89" t="s">
        <v>619</v>
      </c>
      <c r="JU61" s="89" t="s">
        <v>296</v>
      </c>
      <c r="JV61" s="89"/>
      <c r="JW61" s="89"/>
      <c r="JX61" s="89" t="s">
        <v>297</v>
      </c>
      <c r="JY61" s="12" t="s">
        <v>619</v>
      </c>
      <c r="JZ61" s="12" t="s">
        <v>34</v>
      </c>
      <c r="KA61" s="12" t="s">
        <v>34</v>
      </c>
      <c r="KB61" s="12" t="s">
        <v>34</v>
      </c>
      <c r="KC61" s="12" t="s">
        <v>34</v>
      </c>
      <c r="KD61" s="12" t="s">
        <v>34</v>
      </c>
      <c r="KE61" s="12" t="s">
        <v>34</v>
      </c>
      <c r="KF61" s="12"/>
      <c r="KG61" s="12" t="s">
        <v>34</v>
      </c>
      <c r="KH61" s="12" t="s">
        <v>34</v>
      </c>
      <c r="KI61" s="12" t="s">
        <v>34</v>
      </c>
      <c r="KJ61" s="12" t="s">
        <v>34</v>
      </c>
      <c r="KK61" s="12" t="s">
        <v>34</v>
      </c>
      <c r="KL61" s="12" t="s">
        <v>34</v>
      </c>
      <c r="KM61" s="12" t="s">
        <v>34</v>
      </c>
      <c r="KN61" s="12" t="s">
        <v>619</v>
      </c>
      <c r="KO61" s="12" t="s">
        <v>34</v>
      </c>
      <c r="KP61" s="12" t="s">
        <v>34</v>
      </c>
      <c r="KQ61" s="12" t="s">
        <v>619</v>
      </c>
      <c r="KR61" s="12" t="s">
        <v>34</v>
      </c>
      <c r="KS61" s="12" t="s">
        <v>34</v>
      </c>
      <c r="KT61" s="12" t="s">
        <v>34</v>
      </c>
      <c r="KU61" s="12" t="s">
        <v>34</v>
      </c>
      <c r="KV61" s="12" t="s">
        <v>34</v>
      </c>
      <c r="KW61" s="12" t="s">
        <v>34</v>
      </c>
      <c r="KX61" s="12" t="s">
        <v>34</v>
      </c>
      <c r="KY61" s="12" t="s">
        <v>34</v>
      </c>
      <c r="KZ61" s="12" t="s">
        <v>34</v>
      </c>
      <c r="LA61" s="12" t="s">
        <v>34</v>
      </c>
      <c r="LB61" s="12" t="s">
        <v>619</v>
      </c>
      <c r="LC61" s="12" t="s">
        <v>34</v>
      </c>
      <c r="LD61" s="12" t="s">
        <v>34</v>
      </c>
      <c r="LE61" s="12" t="s">
        <v>619</v>
      </c>
      <c r="LF61" s="12" t="s">
        <v>34</v>
      </c>
      <c r="LG61" s="12" t="s">
        <v>34</v>
      </c>
      <c r="LH61" s="12" t="s">
        <v>34</v>
      </c>
      <c r="LI61" s="12" t="s">
        <v>619</v>
      </c>
      <c r="LJ61" s="12" t="s">
        <v>34</v>
      </c>
      <c r="LK61" s="12" t="s">
        <v>34</v>
      </c>
      <c r="LL61" s="13" t="s">
        <v>619</v>
      </c>
      <c r="LM61" s="13" t="s">
        <v>34</v>
      </c>
      <c r="LN61" s="13" t="s">
        <v>34</v>
      </c>
      <c r="LO61" s="13" t="s">
        <v>34</v>
      </c>
      <c r="LP61" s="90" t="s">
        <v>34</v>
      </c>
      <c r="LQ61" s="13" t="s">
        <v>34</v>
      </c>
      <c r="LR61" s="13" t="s">
        <v>34</v>
      </c>
      <c r="LS61" s="13"/>
      <c r="LT61" s="13" t="s">
        <v>34</v>
      </c>
      <c r="LU61" s="13" t="s">
        <v>34</v>
      </c>
      <c r="LV61" s="13" t="s">
        <v>34</v>
      </c>
      <c r="LW61" s="13" t="s">
        <v>34</v>
      </c>
      <c r="LX61" s="13" t="s">
        <v>34</v>
      </c>
      <c r="LY61" s="13" t="s">
        <v>34</v>
      </c>
      <c r="LZ61" s="13" t="s">
        <v>34</v>
      </c>
      <c r="MA61" s="13" t="s">
        <v>619</v>
      </c>
      <c r="MB61" s="13" t="s">
        <v>34</v>
      </c>
      <c r="MC61" s="13" t="s">
        <v>34</v>
      </c>
      <c r="MD61" s="13" t="s">
        <v>619</v>
      </c>
      <c r="ME61" s="13" t="s">
        <v>34</v>
      </c>
      <c r="MF61" s="13" t="s">
        <v>34</v>
      </c>
      <c r="MG61" s="13" t="s">
        <v>34</v>
      </c>
      <c r="MH61" s="13" t="s">
        <v>34</v>
      </c>
      <c r="MI61" s="13" t="s">
        <v>34</v>
      </c>
      <c r="MJ61" s="13" t="s">
        <v>34</v>
      </c>
      <c r="MK61" s="13" t="s">
        <v>34</v>
      </c>
      <c r="ML61" s="13" t="s">
        <v>34</v>
      </c>
      <c r="MM61" s="13" t="s">
        <v>34</v>
      </c>
      <c r="MN61" s="13" t="s">
        <v>34</v>
      </c>
      <c r="MO61" s="13" t="s">
        <v>619</v>
      </c>
      <c r="MP61" s="13" t="s">
        <v>34</v>
      </c>
      <c r="MQ61" s="13" t="s">
        <v>34</v>
      </c>
      <c r="MR61" s="13" t="s">
        <v>619</v>
      </c>
      <c r="MS61" s="13" t="s">
        <v>34</v>
      </c>
      <c r="MT61" s="13" t="s">
        <v>34</v>
      </c>
      <c r="MU61" s="13" t="s">
        <v>34</v>
      </c>
      <c r="MV61" s="13" t="s">
        <v>34</v>
      </c>
      <c r="MW61" s="13" t="s">
        <v>34</v>
      </c>
      <c r="MX61" s="13" t="s">
        <v>34</v>
      </c>
      <c r="MY61" s="28" t="s">
        <v>296</v>
      </c>
      <c r="MZ61" s="28" t="s">
        <v>296</v>
      </c>
      <c r="NA61" s="28" t="s">
        <v>296</v>
      </c>
      <c r="NB61" s="28" t="s">
        <v>296</v>
      </c>
      <c r="NC61" s="28" t="s">
        <v>296</v>
      </c>
      <c r="ND61" s="28" t="s">
        <v>296</v>
      </c>
      <c r="NE61" s="28" t="s">
        <v>296</v>
      </c>
      <c r="NF61" s="28" t="s">
        <v>297</v>
      </c>
      <c r="NG61" s="28" t="s">
        <v>296</v>
      </c>
      <c r="NH61" s="28" t="s">
        <v>297</v>
      </c>
      <c r="NI61" s="177" t="s">
        <v>296</v>
      </c>
      <c r="NJ61" s="177" t="s">
        <v>297</v>
      </c>
      <c r="NK61" s="177" t="s">
        <v>296</v>
      </c>
      <c r="NL61" s="177" t="s">
        <v>297</v>
      </c>
      <c r="NM61" s="177" t="s">
        <v>296</v>
      </c>
      <c r="NN61" s="177" t="s">
        <v>296</v>
      </c>
      <c r="NO61" s="177" t="s">
        <v>296</v>
      </c>
      <c r="NP61" s="177" t="s">
        <v>296</v>
      </c>
      <c r="NQ61" s="177" t="s">
        <v>297</v>
      </c>
      <c r="NR61" s="12" t="s">
        <v>34</v>
      </c>
      <c r="NS61" s="13" t="s">
        <v>34</v>
      </c>
    </row>
    <row r="62" spans="1:383" x14ac:dyDescent="0.25">
      <c r="A62" s="8" t="s">
        <v>164</v>
      </c>
      <c r="B62" s="9" t="s">
        <v>165</v>
      </c>
      <c r="C62" s="9">
        <v>32</v>
      </c>
      <c r="D62" s="9" t="s">
        <v>37</v>
      </c>
      <c r="E62" s="10">
        <v>40</v>
      </c>
      <c r="F62" s="10">
        <v>36</v>
      </c>
      <c r="G62" s="10">
        <v>28</v>
      </c>
      <c r="H62" s="10">
        <v>20</v>
      </c>
      <c r="I62" s="10">
        <v>12</v>
      </c>
      <c r="J62" s="11">
        <v>284</v>
      </c>
      <c r="K62" s="11">
        <v>317</v>
      </c>
      <c r="L62" s="11">
        <v>262</v>
      </c>
      <c r="M62" s="11">
        <v>206</v>
      </c>
      <c r="N62" s="11">
        <v>89</v>
      </c>
      <c r="O62" s="13">
        <v>4244</v>
      </c>
      <c r="P62" s="13">
        <v>4094</v>
      </c>
      <c r="Q62" s="13">
        <v>3618</v>
      </c>
      <c r="R62" s="13">
        <v>2856</v>
      </c>
      <c r="S62" s="13">
        <v>1064</v>
      </c>
      <c r="T62" s="12">
        <v>1151</v>
      </c>
      <c r="U62" s="12">
        <v>1279</v>
      </c>
      <c r="V62" s="12">
        <v>1195</v>
      </c>
      <c r="W62" s="12">
        <v>995</v>
      </c>
      <c r="X62" s="12">
        <v>378</v>
      </c>
      <c r="Y62" s="12">
        <v>8</v>
      </c>
      <c r="Z62" s="12">
        <v>7.5</v>
      </c>
      <c r="AA62" s="12">
        <v>7.5</v>
      </c>
      <c r="AB62" s="13">
        <v>8</v>
      </c>
      <c r="AC62" s="13">
        <v>7.5</v>
      </c>
      <c r="AD62" s="13">
        <v>7.5</v>
      </c>
      <c r="AE62" s="35" t="s">
        <v>259</v>
      </c>
      <c r="AF62" s="35" t="s">
        <v>259</v>
      </c>
      <c r="AG62" s="35" t="s">
        <v>259</v>
      </c>
      <c r="AH62" s="38">
        <v>1</v>
      </c>
      <c r="AI62" s="38">
        <v>0.25</v>
      </c>
      <c r="AJ62" s="38">
        <v>1</v>
      </c>
      <c r="AK62" s="45" t="s">
        <v>34</v>
      </c>
      <c r="AL62" s="45" t="s">
        <v>34</v>
      </c>
      <c r="AM62" s="45" t="s">
        <v>34</v>
      </c>
      <c r="AN62" s="45" t="s">
        <v>293</v>
      </c>
      <c r="AO62" s="45" t="s">
        <v>34</v>
      </c>
      <c r="AP62" s="45" t="s">
        <v>34</v>
      </c>
      <c r="AQ62" s="53" t="s">
        <v>297</v>
      </c>
      <c r="AR62" s="56">
        <v>176</v>
      </c>
      <c r="AS62" s="57">
        <v>37</v>
      </c>
      <c r="AT62" s="56">
        <v>78</v>
      </c>
      <c r="AU62" s="57">
        <v>16110</v>
      </c>
      <c r="AV62" s="57">
        <v>3958</v>
      </c>
      <c r="AW62" s="57">
        <v>4809</v>
      </c>
      <c r="AX62" s="57">
        <v>5</v>
      </c>
      <c r="AY62" s="57">
        <v>1</v>
      </c>
      <c r="AZ62" s="57">
        <v>1</v>
      </c>
      <c r="BA62" s="57">
        <v>2431</v>
      </c>
      <c r="BB62" s="57">
        <v>7166</v>
      </c>
      <c r="BC62" s="57">
        <v>9704</v>
      </c>
      <c r="BD62" s="57">
        <v>1056</v>
      </c>
      <c r="BE62" s="57">
        <v>886</v>
      </c>
      <c r="BF62" s="57">
        <v>1905</v>
      </c>
      <c r="BG62" s="57">
        <v>904</v>
      </c>
      <c r="BH62" s="57">
        <v>1286</v>
      </c>
      <c r="BI62" s="57">
        <v>2922</v>
      </c>
      <c r="BJ62" s="57" t="s">
        <v>296</v>
      </c>
      <c r="BK62" s="57">
        <v>14</v>
      </c>
      <c r="BL62" s="57">
        <v>0</v>
      </c>
      <c r="BM62" s="57">
        <v>0</v>
      </c>
      <c r="BN62" s="57">
        <v>120</v>
      </c>
      <c r="BO62" s="57">
        <v>180</v>
      </c>
      <c r="BP62" s="57">
        <v>250</v>
      </c>
      <c r="BQ62" s="76">
        <v>874</v>
      </c>
      <c r="BR62" s="76">
        <v>865</v>
      </c>
      <c r="BS62">
        <v>847</v>
      </c>
      <c r="BT62">
        <v>857</v>
      </c>
      <c r="BU62">
        <v>850</v>
      </c>
      <c r="BV62">
        <v>85393</v>
      </c>
      <c r="BW62">
        <v>84786</v>
      </c>
      <c r="BX62">
        <v>84227</v>
      </c>
      <c r="BY62">
        <v>83569</v>
      </c>
      <c r="BZ62">
        <v>82553</v>
      </c>
      <c r="CA62">
        <v>198</v>
      </c>
      <c r="CB62">
        <v>98</v>
      </c>
      <c r="CC62">
        <v>68</v>
      </c>
      <c r="CD62">
        <v>55</v>
      </c>
      <c r="CE62">
        <v>26</v>
      </c>
      <c r="CF62">
        <v>5395</v>
      </c>
      <c r="CG62">
        <v>5373</v>
      </c>
      <c r="CH62">
        <v>4813</v>
      </c>
      <c r="CI62">
        <v>3851</v>
      </c>
      <c r="CJ62">
        <v>1442</v>
      </c>
      <c r="CK62" s="10">
        <v>70</v>
      </c>
      <c r="CL62" s="10">
        <v>70</v>
      </c>
      <c r="CM62" s="10">
        <v>70</v>
      </c>
      <c r="CN62" s="11">
        <v>21</v>
      </c>
      <c r="CO62" s="11">
        <v>17</v>
      </c>
      <c r="CP62" s="11">
        <v>17</v>
      </c>
      <c r="CQ62" s="13">
        <v>18</v>
      </c>
      <c r="CR62" s="13">
        <v>5</v>
      </c>
      <c r="CS62" s="13">
        <v>0</v>
      </c>
      <c r="CT62" s="10">
        <v>0</v>
      </c>
      <c r="CU62" s="10">
        <v>0</v>
      </c>
      <c r="CV62" s="10">
        <v>12</v>
      </c>
      <c r="CW62" s="10">
        <v>12</v>
      </c>
      <c r="CX62" s="10">
        <v>1</v>
      </c>
      <c r="CY62" s="10">
        <v>0</v>
      </c>
      <c r="CZ62" s="10">
        <v>0</v>
      </c>
      <c r="DA62" s="10">
        <v>0</v>
      </c>
      <c r="DB62" s="10">
        <v>0</v>
      </c>
      <c r="DC62" s="10">
        <v>0</v>
      </c>
      <c r="DD62" s="10">
        <v>1</v>
      </c>
      <c r="DE62" s="10">
        <v>0</v>
      </c>
      <c r="DF62" s="10">
        <v>2</v>
      </c>
      <c r="DG62" s="10">
        <v>0</v>
      </c>
      <c r="DH62" s="10">
        <v>10</v>
      </c>
      <c r="DI62" s="81">
        <v>4</v>
      </c>
      <c r="DJ62" s="81">
        <v>7</v>
      </c>
      <c r="DK62" s="81">
        <v>5</v>
      </c>
      <c r="DL62" s="81">
        <v>0</v>
      </c>
      <c r="DM62" s="81">
        <v>2</v>
      </c>
      <c r="DN62" s="12">
        <v>5</v>
      </c>
      <c r="DO62" s="12">
        <v>2</v>
      </c>
      <c r="DP62" s="12">
        <v>0</v>
      </c>
      <c r="DQ62" s="12">
        <v>3</v>
      </c>
      <c r="DR62" s="12">
        <v>0</v>
      </c>
      <c r="DS62" s="12">
        <v>1</v>
      </c>
      <c r="DT62" s="12">
        <v>0</v>
      </c>
      <c r="DU62" s="12">
        <v>0</v>
      </c>
      <c r="DV62" s="12">
        <v>13</v>
      </c>
      <c r="DW62" s="12">
        <v>7</v>
      </c>
      <c r="DX62" s="12">
        <v>3</v>
      </c>
      <c r="DY62" s="12">
        <v>1</v>
      </c>
      <c r="DZ62" s="12">
        <v>2</v>
      </c>
      <c r="EA62" s="12">
        <v>0</v>
      </c>
      <c r="EB62" s="12">
        <v>12</v>
      </c>
      <c r="EC62" s="12">
        <v>0</v>
      </c>
      <c r="ED62" s="12">
        <v>5</v>
      </c>
      <c r="EE62" s="12">
        <v>9</v>
      </c>
      <c r="EF62" s="12">
        <v>15</v>
      </c>
      <c r="EG62" s="12">
        <v>0</v>
      </c>
      <c r="EH62" s="12">
        <v>0</v>
      </c>
      <c r="EI62" s="12">
        <v>0</v>
      </c>
      <c r="EJ62" s="12">
        <v>3</v>
      </c>
      <c r="EK62" s="12">
        <v>0</v>
      </c>
      <c r="EL62" s="12">
        <v>2</v>
      </c>
      <c r="EM62" s="12">
        <v>0</v>
      </c>
      <c r="EN62" s="12">
        <v>43</v>
      </c>
      <c r="EO62" s="12">
        <v>3</v>
      </c>
      <c r="EP62" s="12">
        <v>1</v>
      </c>
      <c r="EQ62" s="12">
        <v>2</v>
      </c>
      <c r="ER62" s="12">
        <v>0</v>
      </c>
      <c r="ES62" s="13">
        <v>3</v>
      </c>
      <c r="ET62" s="13">
        <v>3</v>
      </c>
      <c r="EU62" s="13">
        <v>0</v>
      </c>
      <c r="EV62" s="10">
        <v>0</v>
      </c>
      <c r="EW62" s="10">
        <v>0</v>
      </c>
      <c r="EX62" s="10">
        <v>0</v>
      </c>
      <c r="EY62" s="10">
        <v>0</v>
      </c>
      <c r="EZ62" s="10">
        <v>0</v>
      </c>
      <c r="FA62" s="10">
        <v>0</v>
      </c>
      <c r="FB62" s="10">
        <v>0</v>
      </c>
      <c r="FC62" s="10">
        <v>0</v>
      </c>
      <c r="FD62" s="10">
        <v>0</v>
      </c>
      <c r="FE62" s="10">
        <v>0</v>
      </c>
      <c r="FF62" s="10">
        <v>0</v>
      </c>
      <c r="FG62" s="10">
        <v>0</v>
      </c>
      <c r="FH62" s="10">
        <v>0</v>
      </c>
      <c r="FI62" s="10">
        <v>0</v>
      </c>
      <c r="FJ62" s="10">
        <v>0</v>
      </c>
      <c r="FK62" s="81">
        <v>1</v>
      </c>
      <c r="FL62" s="81">
        <v>0</v>
      </c>
      <c r="FM62" s="81">
        <v>0</v>
      </c>
      <c r="FN62" s="81">
        <v>0</v>
      </c>
      <c r="FO62" s="81">
        <v>4</v>
      </c>
      <c r="FP62" s="12">
        <v>0</v>
      </c>
      <c r="FQ62" s="12">
        <v>0</v>
      </c>
      <c r="FR62" s="12">
        <v>0</v>
      </c>
      <c r="FS62" s="12">
        <v>0</v>
      </c>
      <c r="FT62" s="12">
        <v>0</v>
      </c>
      <c r="FU62" s="12">
        <v>0</v>
      </c>
      <c r="FV62" s="12">
        <v>0</v>
      </c>
      <c r="FW62" s="12">
        <v>0</v>
      </c>
      <c r="FX62" s="12">
        <v>13</v>
      </c>
      <c r="FY62" s="12">
        <v>5</v>
      </c>
      <c r="FZ62" s="12">
        <v>1</v>
      </c>
      <c r="GA62" s="12">
        <v>4</v>
      </c>
      <c r="GB62" s="12">
        <v>0</v>
      </c>
      <c r="GC62" s="12">
        <v>0</v>
      </c>
      <c r="GD62" s="12">
        <v>3</v>
      </c>
      <c r="GE62" s="12">
        <v>0</v>
      </c>
      <c r="GF62" s="12">
        <v>2</v>
      </c>
      <c r="GG62" s="12">
        <v>1</v>
      </c>
      <c r="GH62" s="12">
        <v>5</v>
      </c>
      <c r="GI62" s="12">
        <v>0</v>
      </c>
      <c r="GJ62" s="12">
        <v>0</v>
      </c>
      <c r="GK62" s="12">
        <v>0</v>
      </c>
      <c r="GL62" s="12">
        <v>0</v>
      </c>
      <c r="GM62" s="12">
        <v>0</v>
      </c>
      <c r="GN62" s="12">
        <v>2</v>
      </c>
      <c r="GO62" s="12">
        <v>2</v>
      </c>
      <c r="GP62" s="12">
        <v>0</v>
      </c>
      <c r="GQ62" s="12">
        <v>3</v>
      </c>
      <c r="GR62" s="12">
        <v>0</v>
      </c>
      <c r="GS62" s="12">
        <v>0</v>
      </c>
      <c r="GT62" s="12">
        <v>0</v>
      </c>
      <c r="GU62" s="13">
        <v>37</v>
      </c>
      <c r="GV62" s="13">
        <v>19</v>
      </c>
      <c r="GW62" s="13">
        <v>26</v>
      </c>
      <c r="GX62" s="13">
        <v>0</v>
      </c>
      <c r="GY62" s="10">
        <v>0</v>
      </c>
      <c r="GZ62" s="10">
        <v>0</v>
      </c>
      <c r="HA62" s="10">
        <v>12</v>
      </c>
      <c r="HB62" s="10">
        <v>2</v>
      </c>
      <c r="HC62" s="10">
        <v>21</v>
      </c>
      <c r="HD62" s="10">
        <v>0</v>
      </c>
      <c r="HE62" s="10">
        <v>0</v>
      </c>
      <c r="HF62" s="10">
        <v>0</v>
      </c>
      <c r="HG62" s="10">
        <v>0</v>
      </c>
      <c r="HH62" s="10">
        <v>0</v>
      </c>
      <c r="HI62" s="10">
        <v>0</v>
      </c>
      <c r="HJ62" s="10">
        <v>0</v>
      </c>
      <c r="HK62" s="10">
        <v>0</v>
      </c>
      <c r="HL62" s="10">
        <v>0</v>
      </c>
      <c r="HM62" s="10">
        <v>0</v>
      </c>
      <c r="HN62" s="81">
        <v>0</v>
      </c>
      <c r="HO62" s="81">
        <v>1</v>
      </c>
      <c r="HP62" s="81">
        <v>0</v>
      </c>
      <c r="HQ62" s="81">
        <v>0</v>
      </c>
      <c r="HR62" s="81">
        <v>0</v>
      </c>
      <c r="HS62" s="12">
        <v>0</v>
      </c>
      <c r="HT62" s="12">
        <v>0</v>
      </c>
      <c r="HU62" s="12">
        <v>0</v>
      </c>
      <c r="HV62" s="12">
        <v>2</v>
      </c>
      <c r="HW62" s="12">
        <v>0</v>
      </c>
      <c r="HX62" s="12">
        <v>0</v>
      </c>
      <c r="HY62" s="12">
        <v>0</v>
      </c>
      <c r="HZ62" s="12">
        <v>0</v>
      </c>
      <c r="IA62" s="12">
        <v>0</v>
      </c>
      <c r="IB62" s="12">
        <v>1</v>
      </c>
      <c r="IC62" s="12">
        <v>2</v>
      </c>
      <c r="ID62" s="12">
        <v>1</v>
      </c>
      <c r="IE62" s="12">
        <v>0</v>
      </c>
      <c r="IF62" s="12">
        <v>0</v>
      </c>
      <c r="IG62" s="12">
        <v>1</v>
      </c>
      <c r="IH62" s="12">
        <v>0</v>
      </c>
      <c r="II62" s="12">
        <v>8</v>
      </c>
      <c r="IJ62" s="12">
        <v>0</v>
      </c>
      <c r="IK62" s="12">
        <v>1</v>
      </c>
      <c r="IL62" s="12">
        <v>0</v>
      </c>
      <c r="IM62" s="12">
        <v>0</v>
      </c>
      <c r="IN62" s="12">
        <v>0</v>
      </c>
      <c r="IO62" s="12">
        <v>1</v>
      </c>
      <c r="IP62" s="12">
        <v>0</v>
      </c>
      <c r="IQ62" s="12">
        <v>1</v>
      </c>
      <c r="IR62" s="12">
        <v>0</v>
      </c>
      <c r="IS62" s="12">
        <v>0</v>
      </c>
      <c r="IT62" s="12">
        <v>0</v>
      </c>
      <c r="IU62" s="12">
        <v>12</v>
      </c>
      <c r="IV62" s="12">
        <v>0</v>
      </c>
      <c r="IW62" s="12">
        <v>0</v>
      </c>
      <c r="IX62" s="11">
        <v>30500</v>
      </c>
      <c r="IY62" s="11">
        <v>31000</v>
      </c>
      <c r="IZ62" s="11">
        <v>32000</v>
      </c>
      <c r="JA62" s="85" t="s">
        <v>602</v>
      </c>
      <c r="JB62" s="85" t="s">
        <v>604</v>
      </c>
      <c r="JC62" s="85" t="s">
        <v>602</v>
      </c>
      <c r="JD62" s="12">
        <v>16</v>
      </c>
      <c r="JE62" s="12">
        <v>2</v>
      </c>
      <c r="JF62" s="12">
        <v>16</v>
      </c>
      <c r="JG62" s="12">
        <v>3</v>
      </c>
      <c r="JH62" s="12">
        <v>17</v>
      </c>
      <c r="JI62" s="12">
        <v>2</v>
      </c>
      <c r="JJ62" s="13" t="s">
        <v>620</v>
      </c>
      <c r="JK62" s="13" t="s">
        <v>620</v>
      </c>
      <c r="JL62" s="13" t="s">
        <v>296</v>
      </c>
      <c r="JM62" s="89"/>
      <c r="JN62" s="89"/>
      <c r="JO62" s="89" t="s">
        <v>296</v>
      </c>
      <c r="JP62" s="89"/>
      <c r="JQ62" s="89"/>
      <c r="JR62" s="89" t="s">
        <v>296</v>
      </c>
      <c r="JS62" s="89" t="s">
        <v>620</v>
      </c>
      <c r="JT62" s="89" t="s">
        <v>619</v>
      </c>
      <c r="JU62" s="89" t="s">
        <v>296</v>
      </c>
      <c r="JV62" s="89"/>
      <c r="JW62" s="89"/>
      <c r="JX62" s="89" t="s">
        <v>297</v>
      </c>
      <c r="JY62" s="12" t="s">
        <v>34</v>
      </c>
      <c r="JZ62" s="12" t="s">
        <v>34</v>
      </c>
      <c r="KA62" s="12" t="s">
        <v>34</v>
      </c>
      <c r="KB62" s="12" t="s">
        <v>34</v>
      </c>
      <c r="KC62" s="12" t="s">
        <v>619</v>
      </c>
      <c r="KD62" s="12" t="s">
        <v>619</v>
      </c>
      <c r="KE62" s="12" t="s">
        <v>34</v>
      </c>
      <c r="KF62" s="12"/>
      <c r="KG62" s="12" t="s">
        <v>34</v>
      </c>
      <c r="KH62" s="12" t="s">
        <v>34</v>
      </c>
      <c r="KI62" s="12" t="s">
        <v>34</v>
      </c>
      <c r="KJ62" s="12" t="s">
        <v>34</v>
      </c>
      <c r="KK62" s="12" t="s">
        <v>34</v>
      </c>
      <c r="KL62" s="12" t="s">
        <v>34</v>
      </c>
      <c r="KM62" s="12" t="s">
        <v>619</v>
      </c>
      <c r="KN62" s="12" t="s">
        <v>34</v>
      </c>
      <c r="KO62" s="12" t="s">
        <v>34</v>
      </c>
      <c r="KP62" s="12" t="s">
        <v>34</v>
      </c>
      <c r="KQ62" s="12" t="s">
        <v>619</v>
      </c>
      <c r="KR62" s="12" t="s">
        <v>619</v>
      </c>
      <c r="KS62" s="12" t="s">
        <v>34</v>
      </c>
      <c r="KT62" s="12" t="s">
        <v>34</v>
      </c>
      <c r="KU62" s="12" t="s">
        <v>34</v>
      </c>
      <c r="KV62" s="12" t="s">
        <v>34</v>
      </c>
      <c r="KW62" s="12" t="s">
        <v>34</v>
      </c>
      <c r="KX62" s="12" t="s">
        <v>34</v>
      </c>
      <c r="KY62" s="12" t="s">
        <v>34</v>
      </c>
      <c r="KZ62" s="12" t="s">
        <v>34</v>
      </c>
      <c r="LA62" s="12" t="s">
        <v>34</v>
      </c>
      <c r="LB62" s="12" t="s">
        <v>619</v>
      </c>
      <c r="LC62" s="12" t="s">
        <v>34</v>
      </c>
      <c r="LD62" s="12" t="s">
        <v>34</v>
      </c>
      <c r="LE62" s="12" t="s">
        <v>619</v>
      </c>
      <c r="LF62" s="12" t="s">
        <v>34</v>
      </c>
      <c r="LG62" s="12" t="s">
        <v>34</v>
      </c>
      <c r="LH62" s="12" t="s">
        <v>34</v>
      </c>
      <c r="LI62" s="12" t="s">
        <v>619</v>
      </c>
      <c r="LJ62" s="12" t="s">
        <v>619</v>
      </c>
      <c r="LK62" s="12" t="s">
        <v>34</v>
      </c>
      <c r="LL62" s="13" t="s">
        <v>34</v>
      </c>
      <c r="LM62" s="13" t="s">
        <v>34</v>
      </c>
      <c r="LN62" s="13" t="s">
        <v>34</v>
      </c>
      <c r="LO62" s="13" t="s">
        <v>34</v>
      </c>
      <c r="LP62" s="90" t="s">
        <v>34</v>
      </c>
      <c r="LQ62" s="13" t="s">
        <v>34</v>
      </c>
      <c r="LR62" s="13" t="s">
        <v>34</v>
      </c>
      <c r="LS62" s="13"/>
      <c r="LT62" s="13" t="s">
        <v>34</v>
      </c>
      <c r="LU62" s="13" t="s">
        <v>34</v>
      </c>
      <c r="LV62" s="13" t="s">
        <v>34</v>
      </c>
      <c r="LW62" s="13" t="s">
        <v>34</v>
      </c>
      <c r="LX62" s="13" t="s">
        <v>34</v>
      </c>
      <c r="LY62" s="13" t="s">
        <v>34</v>
      </c>
      <c r="LZ62" s="13" t="s">
        <v>34</v>
      </c>
      <c r="MA62" s="13" t="s">
        <v>619</v>
      </c>
      <c r="MB62" s="13" t="s">
        <v>619</v>
      </c>
      <c r="MC62" s="13" t="s">
        <v>34</v>
      </c>
      <c r="MD62" s="13" t="s">
        <v>34</v>
      </c>
      <c r="ME62" s="13" t="s">
        <v>34</v>
      </c>
      <c r="MF62" s="13" t="s">
        <v>34</v>
      </c>
      <c r="MG62" s="13" t="s">
        <v>34</v>
      </c>
      <c r="MH62" s="13" t="s">
        <v>34</v>
      </c>
      <c r="MI62" s="13" t="s">
        <v>34</v>
      </c>
      <c r="MJ62" s="13" t="s">
        <v>34</v>
      </c>
      <c r="MK62" s="13" t="s">
        <v>34</v>
      </c>
      <c r="ML62" s="13" t="s">
        <v>34</v>
      </c>
      <c r="MM62" s="13" t="s">
        <v>34</v>
      </c>
      <c r="MN62" s="13" t="s">
        <v>34</v>
      </c>
      <c r="MO62" s="13" t="s">
        <v>34</v>
      </c>
      <c r="MP62" s="13" t="s">
        <v>34</v>
      </c>
      <c r="MQ62" s="13" t="s">
        <v>619</v>
      </c>
      <c r="MR62" s="13" t="s">
        <v>34</v>
      </c>
      <c r="MS62" s="13" t="s">
        <v>34</v>
      </c>
      <c r="MT62" s="13" t="s">
        <v>34</v>
      </c>
      <c r="MU62" s="13" t="s">
        <v>34</v>
      </c>
      <c r="MV62" s="13" t="s">
        <v>34</v>
      </c>
      <c r="MW62" s="13" t="s">
        <v>34</v>
      </c>
      <c r="MX62" s="13" t="s">
        <v>34</v>
      </c>
      <c r="MY62" s="28" t="s">
        <v>296</v>
      </c>
      <c r="MZ62" s="28" t="s">
        <v>296</v>
      </c>
      <c r="NA62" s="28" t="s">
        <v>296</v>
      </c>
      <c r="NB62" s="28" t="s">
        <v>296</v>
      </c>
      <c r="NC62" s="28" t="s">
        <v>296</v>
      </c>
      <c r="ND62" s="28" t="s">
        <v>297</v>
      </c>
      <c r="NE62" s="28" t="s">
        <v>296</v>
      </c>
      <c r="NF62" s="28" t="s">
        <v>296</v>
      </c>
      <c r="NG62" s="28" t="s">
        <v>297</v>
      </c>
      <c r="NH62" s="28" t="s">
        <v>297</v>
      </c>
      <c r="NI62" s="177" t="s">
        <v>296</v>
      </c>
      <c r="NJ62" s="177" t="s">
        <v>297</v>
      </c>
      <c r="NK62" s="177" t="s">
        <v>296</v>
      </c>
      <c r="NL62" s="177" t="s">
        <v>296</v>
      </c>
      <c r="NM62" s="177" t="s">
        <v>296</v>
      </c>
      <c r="NN62" s="177" t="s">
        <v>296</v>
      </c>
      <c r="NO62" s="177" t="s">
        <v>297</v>
      </c>
      <c r="NP62" s="177" t="s">
        <v>297</v>
      </c>
      <c r="NQ62" s="177" t="s">
        <v>296</v>
      </c>
      <c r="NR62" s="12" t="s">
        <v>34</v>
      </c>
      <c r="NS62" s="13" t="s">
        <v>34</v>
      </c>
    </row>
    <row r="63" spans="1:383" x14ac:dyDescent="0.25">
      <c r="A63" s="8" t="s">
        <v>166</v>
      </c>
      <c r="B63" s="9" t="s">
        <v>167</v>
      </c>
      <c r="C63" s="9">
        <v>28</v>
      </c>
      <c r="D63" s="9" t="s">
        <v>65</v>
      </c>
      <c r="E63" s="10">
        <v>48</v>
      </c>
      <c r="F63" s="10">
        <v>47</v>
      </c>
      <c r="G63" s="10">
        <v>57</v>
      </c>
      <c r="H63" s="10">
        <v>64</v>
      </c>
      <c r="I63" s="10">
        <v>60</v>
      </c>
      <c r="J63" s="11">
        <v>100</v>
      </c>
      <c r="K63" s="11">
        <v>101</v>
      </c>
      <c r="L63" s="11">
        <v>124</v>
      </c>
      <c r="M63" s="11">
        <v>126</v>
      </c>
      <c r="N63" s="11">
        <v>101</v>
      </c>
      <c r="O63" s="13">
        <v>1357</v>
      </c>
      <c r="P63" s="13">
        <v>1320</v>
      </c>
      <c r="Q63" s="13">
        <v>1706</v>
      </c>
      <c r="R63" s="13">
        <v>2021</v>
      </c>
      <c r="S63" s="13">
        <v>1388</v>
      </c>
      <c r="T63" s="12">
        <v>216</v>
      </c>
      <c r="U63" s="12">
        <v>260</v>
      </c>
      <c r="V63" s="12">
        <v>268</v>
      </c>
      <c r="W63" s="12">
        <v>306</v>
      </c>
      <c r="X63" s="12">
        <v>129</v>
      </c>
      <c r="Y63" s="12">
        <v>4.9000000000000004</v>
      </c>
      <c r="Z63" s="12">
        <v>5</v>
      </c>
      <c r="AA63" s="12">
        <v>5</v>
      </c>
      <c r="AB63" s="13">
        <v>3.85</v>
      </c>
      <c r="AC63" s="13">
        <v>4</v>
      </c>
      <c r="AD63" s="13">
        <v>4</v>
      </c>
      <c r="AE63" s="35" t="s">
        <v>259</v>
      </c>
      <c r="AF63" s="35" t="s">
        <v>259</v>
      </c>
      <c r="AG63" s="35" t="s">
        <v>259</v>
      </c>
      <c r="AH63" s="38">
        <v>0.5</v>
      </c>
      <c r="AI63" s="38">
        <v>1</v>
      </c>
      <c r="AJ63" s="38">
        <v>1</v>
      </c>
      <c r="AK63" s="45" t="s">
        <v>34</v>
      </c>
      <c r="AL63" s="45" t="s">
        <v>34</v>
      </c>
      <c r="AM63" s="45" t="s">
        <v>34</v>
      </c>
      <c r="AN63" s="45" t="s">
        <v>34</v>
      </c>
      <c r="AO63" s="45" t="s">
        <v>34</v>
      </c>
      <c r="AP63" s="45" t="s">
        <v>292</v>
      </c>
      <c r="AQ63" s="53" t="s">
        <v>297</v>
      </c>
      <c r="AR63" s="56">
        <v>79</v>
      </c>
      <c r="AS63" s="57">
        <v>36</v>
      </c>
      <c r="AT63" s="56">
        <v>101</v>
      </c>
      <c r="AU63" s="57">
        <v>6857</v>
      </c>
      <c r="AV63" s="57">
        <v>2386</v>
      </c>
      <c r="AW63" s="57">
        <v>993</v>
      </c>
      <c r="AX63" s="57">
        <v>29</v>
      </c>
      <c r="AY63" s="57">
        <v>16</v>
      </c>
      <c r="AZ63" s="57">
        <v>3</v>
      </c>
      <c r="BA63" s="57">
        <v>2570</v>
      </c>
      <c r="BB63" s="57">
        <v>4907</v>
      </c>
      <c r="BC63" s="57">
        <v>5472</v>
      </c>
      <c r="BD63" s="57">
        <v>537</v>
      </c>
      <c r="BE63" s="57">
        <v>2053</v>
      </c>
      <c r="BF63" s="57">
        <v>2205</v>
      </c>
      <c r="BG63" s="57">
        <v>1485</v>
      </c>
      <c r="BH63" s="57">
        <v>2034</v>
      </c>
      <c r="BI63" s="57">
        <v>2231</v>
      </c>
      <c r="BJ63" s="57" t="s">
        <v>296</v>
      </c>
      <c r="BK63" s="57">
        <v>48</v>
      </c>
      <c r="BL63" s="57">
        <v>0</v>
      </c>
      <c r="BM63" s="57">
        <v>0</v>
      </c>
      <c r="BN63" s="57">
        <v>704</v>
      </c>
      <c r="BO63" s="57">
        <v>1526</v>
      </c>
      <c r="BP63" s="57">
        <v>109</v>
      </c>
      <c r="BQ63" s="76">
        <v>180</v>
      </c>
      <c r="BR63" s="76">
        <v>175</v>
      </c>
      <c r="BS63">
        <v>174</v>
      </c>
      <c r="BT63">
        <v>174</v>
      </c>
      <c r="BU63">
        <v>171</v>
      </c>
      <c r="BV63">
        <v>20547</v>
      </c>
      <c r="BW63">
        <v>19973</v>
      </c>
      <c r="BX63">
        <v>19523</v>
      </c>
      <c r="BY63">
        <v>18926</v>
      </c>
      <c r="BZ63">
        <v>18340</v>
      </c>
      <c r="CA63">
        <v>52</v>
      </c>
      <c r="CB63">
        <v>56</v>
      </c>
      <c r="CC63">
        <v>60</v>
      </c>
      <c r="CD63">
        <v>79</v>
      </c>
      <c r="CE63">
        <v>65</v>
      </c>
      <c r="CF63">
        <v>1573</v>
      </c>
      <c r="CG63">
        <v>1580</v>
      </c>
      <c r="CH63">
        <v>1974</v>
      </c>
      <c r="CI63">
        <v>2327</v>
      </c>
      <c r="CJ63">
        <v>1517</v>
      </c>
      <c r="CK63" s="10">
        <v>20</v>
      </c>
      <c r="CL63" s="10">
        <v>21</v>
      </c>
      <c r="CM63" s="10">
        <v>21</v>
      </c>
      <c r="CN63" s="11">
        <v>15.25</v>
      </c>
      <c r="CO63" s="11">
        <v>15.25</v>
      </c>
      <c r="CP63" s="11">
        <v>15.25</v>
      </c>
      <c r="CQ63" s="13">
        <v>29</v>
      </c>
      <c r="CR63" s="13">
        <v>8</v>
      </c>
      <c r="CS63" s="13">
        <v>0</v>
      </c>
      <c r="CT63" s="10">
        <v>0</v>
      </c>
      <c r="CU63" s="10">
        <v>0</v>
      </c>
      <c r="CV63" s="10">
        <v>9</v>
      </c>
      <c r="CW63" s="10">
        <v>2</v>
      </c>
      <c r="CX63" s="10">
        <v>1</v>
      </c>
      <c r="CY63" s="10">
        <v>0</v>
      </c>
      <c r="CZ63" s="10">
        <v>0</v>
      </c>
      <c r="DA63" s="10">
        <v>0</v>
      </c>
      <c r="DB63" s="10">
        <v>2</v>
      </c>
      <c r="DC63" s="10">
        <v>0</v>
      </c>
      <c r="DD63" s="10">
        <v>0</v>
      </c>
      <c r="DE63" s="10">
        <v>0</v>
      </c>
      <c r="DF63" s="10">
        <v>0</v>
      </c>
      <c r="DG63" s="10">
        <v>0</v>
      </c>
      <c r="DH63" s="10">
        <v>4</v>
      </c>
      <c r="DI63" s="81">
        <v>0</v>
      </c>
      <c r="DJ63" s="81">
        <v>0</v>
      </c>
      <c r="DK63" s="81">
        <v>0</v>
      </c>
      <c r="DL63" s="81">
        <v>0</v>
      </c>
      <c r="DM63" s="81">
        <v>0</v>
      </c>
      <c r="DN63" s="12">
        <v>1</v>
      </c>
      <c r="DO63" s="12">
        <v>4</v>
      </c>
      <c r="DP63" s="12">
        <v>4</v>
      </c>
      <c r="DQ63" s="12">
        <v>0</v>
      </c>
      <c r="DR63" s="12">
        <v>0</v>
      </c>
      <c r="DS63" s="12">
        <v>0</v>
      </c>
      <c r="DT63" s="12">
        <v>0</v>
      </c>
      <c r="DU63" s="12">
        <v>0</v>
      </c>
      <c r="DV63" s="12">
        <v>1</v>
      </c>
      <c r="DW63" s="12">
        <v>12</v>
      </c>
      <c r="DX63" s="12">
        <v>3</v>
      </c>
      <c r="DY63" s="12">
        <v>4</v>
      </c>
      <c r="DZ63" s="12">
        <v>2</v>
      </c>
      <c r="EA63" s="12">
        <v>0</v>
      </c>
      <c r="EB63" s="12">
        <v>3</v>
      </c>
      <c r="EC63" s="12">
        <v>0</v>
      </c>
      <c r="ED63" s="12">
        <v>4</v>
      </c>
      <c r="EE63" s="12">
        <v>5</v>
      </c>
      <c r="EF63" s="12">
        <v>1</v>
      </c>
      <c r="EG63" s="12">
        <v>0</v>
      </c>
      <c r="EH63" s="12">
        <v>0</v>
      </c>
      <c r="EI63" s="12">
        <v>0</v>
      </c>
      <c r="EJ63" s="12">
        <v>11</v>
      </c>
      <c r="EK63" s="12">
        <v>0</v>
      </c>
      <c r="EL63" s="12">
        <v>1</v>
      </c>
      <c r="EM63" s="12">
        <v>3</v>
      </c>
      <c r="EN63" s="12">
        <v>1</v>
      </c>
      <c r="EO63" s="12">
        <v>5</v>
      </c>
      <c r="EP63" s="12">
        <v>9</v>
      </c>
      <c r="EQ63" s="12">
        <v>5</v>
      </c>
      <c r="ER63" s="12">
        <v>7</v>
      </c>
      <c r="ES63" s="13">
        <v>2</v>
      </c>
      <c r="ET63" s="13">
        <v>3</v>
      </c>
      <c r="EU63" s="13">
        <v>0</v>
      </c>
      <c r="EV63" s="10">
        <v>0</v>
      </c>
      <c r="EW63" s="10">
        <v>0</v>
      </c>
      <c r="EX63" s="10">
        <v>2</v>
      </c>
      <c r="EY63" s="10">
        <v>1</v>
      </c>
      <c r="EZ63" s="10">
        <v>0</v>
      </c>
      <c r="FA63" s="10">
        <v>0</v>
      </c>
      <c r="FB63" s="10">
        <v>0</v>
      </c>
      <c r="FC63" s="10">
        <v>0</v>
      </c>
      <c r="FD63" s="10">
        <v>0</v>
      </c>
      <c r="FE63" s="10">
        <v>0</v>
      </c>
      <c r="FF63" s="10">
        <v>0</v>
      </c>
      <c r="FG63" s="10">
        <v>0</v>
      </c>
      <c r="FH63" s="10">
        <v>0</v>
      </c>
      <c r="FI63" s="10">
        <v>0</v>
      </c>
      <c r="FJ63" s="10">
        <v>1</v>
      </c>
      <c r="FK63" s="81">
        <v>0</v>
      </c>
      <c r="FL63" s="81">
        <v>0</v>
      </c>
      <c r="FM63" s="81">
        <v>0</v>
      </c>
      <c r="FN63" s="81">
        <v>0</v>
      </c>
      <c r="FO63" s="81">
        <v>1</v>
      </c>
      <c r="FP63" s="12">
        <v>1</v>
      </c>
      <c r="FQ63" s="12">
        <v>0</v>
      </c>
      <c r="FR63" s="12">
        <v>0</v>
      </c>
      <c r="FS63" s="12">
        <v>0</v>
      </c>
      <c r="FT63" s="12">
        <v>0</v>
      </c>
      <c r="FU63" s="12">
        <v>0</v>
      </c>
      <c r="FV63" s="12">
        <v>0</v>
      </c>
      <c r="FW63" s="12">
        <v>0</v>
      </c>
      <c r="FX63" s="12">
        <v>2</v>
      </c>
      <c r="FY63" s="12">
        <v>0</v>
      </c>
      <c r="FZ63" s="12">
        <v>1</v>
      </c>
      <c r="GA63" s="12">
        <v>0</v>
      </c>
      <c r="GB63" s="12">
        <v>0</v>
      </c>
      <c r="GC63" s="12">
        <v>0</v>
      </c>
      <c r="GD63" s="12">
        <v>1</v>
      </c>
      <c r="GE63" s="12">
        <v>0</v>
      </c>
      <c r="GF63" s="12">
        <v>0</v>
      </c>
      <c r="GG63" s="12">
        <v>2</v>
      </c>
      <c r="GH63" s="12">
        <v>1</v>
      </c>
      <c r="GI63" s="12">
        <v>0</v>
      </c>
      <c r="GJ63" s="12">
        <v>0</v>
      </c>
      <c r="GK63" s="12">
        <v>0</v>
      </c>
      <c r="GL63" s="12">
        <v>2</v>
      </c>
      <c r="GM63" s="12">
        <v>0</v>
      </c>
      <c r="GN63" s="12">
        <v>1</v>
      </c>
      <c r="GO63" s="12">
        <v>1</v>
      </c>
      <c r="GP63" s="12">
        <v>0</v>
      </c>
      <c r="GQ63" s="12">
        <v>6</v>
      </c>
      <c r="GR63" s="12">
        <v>0</v>
      </c>
      <c r="GS63" s="12">
        <v>2</v>
      </c>
      <c r="GT63" s="12">
        <v>0</v>
      </c>
      <c r="GU63" s="13">
        <v>36</v>
      </c>
      <c r="GV63" s="13">
        <v>13</v>
      </c>
      <c r="GW63" s="13">
        <v>9</v>
      </c>
      <c r="GX63" s="13">
        <v>0</v>
      </c>
      <c r="GY63" s="10">
        <v>0</v>
      </c>
      <c r="GZ63" s="10">
        <v>0</v>
      </c>
      <c r="HA63" s="10">
        <v>33</v>
      </c>
      <c r="HB63" s="10">
        <v>0</v>
      </c>
      <c r="HC63" s="10">
        <v>2</v>
      </c>
      <c r="HD63" s="10">
        <v>0</v>
      </c>
      <c r="HE63" s="10">
        <v>0</v>
      </c>
      <c r="HF63" s="10">
        <v>0</v>
      </c>
      <c r="HG63" s="10">
        <v>0</v>
      </c>
      <c r="HH63" s="10">
        <v>0</v>
      </c>
      <c r="HI63" s="10">
        <v>0</v>
      </c>
      <c r="HJ63" s="10">
        <v>0</v>
      </c>
      <c r="HK63" s="10">
        <v>0</v>
      </c>
      <c r="HL63" s="10">
        <v>0</v>
      </c>
      <c r="HM63" s="10">
        <v>10</v>
      </c>
      <c r="HN63" s="81">
        <v>0</v>
      </c>
      <c r="HO63" s="81">
        <v>0</v>
      </c>
      <c r="HP63" s="81">
        <v>0</v>
      </c>
      <c r="HQ63" s="81">
        <v>0</v>
      </c>
      <c r="HR63" s="81">
        <v>0</v>
      </c>
      <c r="HS63" s="12">
        <v>0</v>
      </c>
      <c r="HT63" s="12">
        <v>0</v>
      </c>
      <c r="HU63" s="12">
        <v>0</v>
      </c>
      <c r="HV63" s="12">
        <v>0</v>
      </c>
      <c r="HW63" s="12">
        <v>0</v>
      </c>
      <c r="HX63" s="12">
        <v>0</v>
      </c>
      <c r="HY63" s="12">
        <v>0</v>
      </c>
      <c r="HZ63" s="12">
        <v>0</v>
      </c>
      <c r="IA63" s="12">
        <v>0</v>
      </c>
      <c r="IB63" s="12">
        <v>7</v>
      </c>
      <c r="IC63" s="12">
        <v>20</v>
      </c>
      <c r="ID63" s="12">
        <v>0</v>
      </c>
      <c r="IE63" s="12">
        <v>0</v>
      </c>
      <c r="IF63" s="12">
        <v>0</v>
      </c>
      <c r="IG63" s="12">
        <v>1</v>
      </c>
      <c r="IH63" s="12">
        <v>0</v>
      </c>
      <c r="II63" s="12">
        <v>0</v>
      </c>
      <c r="IJ63" s="12">
        <v>0</v>
      </c>
      <c r="IK63" s="12">
        <v>0</v>
      </c>
      <c r="IL63" s="12">
        <v>0</v>
      </c>
      <c r="IM63" s="12">
        <v>0</v>
      </c>
      <c r="IN63" s="12">
        <v>0</v>
      </c>
      <c r="IO63" s="12">
        <v>0</v>
      </c>
      <c r="IP63" s="12">
        <v>0</v>
      </c>
      <c r="IQ63" s="12">
        <v>0</v>
      </c>
      <c r="IR63" s="12">
        <v>0</v>
      </c>
      <c r="IS63" s="12">
        <v>0</v>
      </c>
      <c r="IT63" s="12">
        <v>0</v>
      </c>
      <c r="IU63" s="12">
        <v>0</v>
      </c>
      <c r="IV63" s="12">
        <v>0</v>
      </c>
      <c r="IW63" s="12">
        <v>0</v>
      </c>
      <c r="IX63" s="11">
        <v>4100</v>
      </c>
      <c r="IY63" s="11">
        <v>4300</v>
      </c>
      <c r="IZ63" s="11">
        <v>4800</v>
      </c>
      <c r="JA63" s="85">
        <v>0</v>
      </c>
      <c r="JB63" s="85">
        <v>0</v>
      </c>
      <c r="JC63" s="85">
        <v>0</v>
      </c>
      <c r="JD63" s="12">
        <v>6</v>
      </c>
      <c r="JE63" s="12">
        <v>4</v>
      </c>
      <c r="JF63" s="12">
        <v>5</v>
      </c>
      <c r="JG63" s="12">
        <v>5</v>
      </c>
      <c r="JH63" s="12">
        <v>5</v>
      </c>
      <c r="JI63" s="12">
        <v>4</v>
      </c>
      <c r="JJ63" s="13" t="s">
        <v>619</v>
      </c>
      <c r="JK63" s="13" t="s">
        <v>620</v>
      </c>
      <c r="JL63" s="13" t="s">
        <v>296</v>
      </c>
      <c r="JM63" s="89"/>
      <c r="JN63" s="89"/>
      <c r="JO63" s="89" t="s">
        <v>296</v>
      </c>
      <c r="JP63" s="89"/>
      <c r="JQ63" s="89"/>
      <c r="JR63" s="89" t="s">
        <v>296</v>
      </c>
      <c r="JS63" s="89" t="s">
        <v>619</v>
      </c>
      <c r="JT63" s="89" t="s">
        <v>619</v>
      </c>
      <c r="JU63" s="89" t="s">
        <v>296</v>
      </c>
      <c r="JV63" s="89"/>
      <c r="JW63" s="89"/>
      <c r="JX63" s="89" t="s">
        <v>297</v>
      </c>
      <c r="JY63" s="12" t="s">
        <v>619</v>
      </c>
      <c r="JZ63" s="12" t="s">
        <v>34</v>
      </c>
      <c r="KA63" s="12" t="s">
        <v>34</v>
      </c>
      <c r="KB63" s="12" t="s">
        <v>34</v>
      </c>
      <c r="KC63" s="12" t="s">
        <v>619</v>
      </c>
      <c r="KD63" s="12" t="s">
        <v>34</v>
      </c>
      <c r="KE63" s="12" t="s">
        <v>34</v>
      </c>
      <c r="KF63" s="12"/>
      <c r="KG63" s="12" t="s">
        <v>34</v>
      </c>
      <c r="KH63" s="12" t="s">
        <v>34</v>
      </c>
      <c r="KI63" s="12" t="s">
        <v>34</v>
      </c>
      <c r="KJ63" s="12" t="s">
        <v>34</v>
      </c>
      <c r="KK63" s="12" t="s">
        <v>34</v>
      </c>
      <c r="KL63" s="12" t="s">
        <v>34</v>
      </c>
      <c r="KM63" s="12" t="s">
        <v>34</v>
      </c>
      <c r="KN63" s="12" t="s">
        <v>619</v>
      </c>
      <c r="KO63" s="12" t="s">
        <v>34</v>
      </c>
      <c r="KP63" s="12" t="s">
        <v>34</v>
      </c>
      <c r="KQ63" s="12" t="s">
        <v>34</v>
      </c>
      <c r="KR63" s="12" t="s">
        <v>619</v>
      </c>
      <c r="KS63" s="12" t="s">
        <v>34</v>
      </c>
      <c r="KT63" s="12" t="s">
        <v>34</v>
      </c>
      <c r="KU63" s="12" t="s">
        <v>34</v>
      </c>
      <c r="KV63" s="12" t="s">
        <v>34</v>
      </c>
      <c r="KW63" s="12" t="s">
        <v>34</v>
      </c>
      <c r="KX63" s="12" t="s">
        <v>34</v>
      </c>
      <c r="KY63" s="12" t="s">
        <v>34</v>
      </c>
      <c r="KZ63" s="12" t="s">
        <v>34</v>
      </c>
      <c r="LA63" s="12" t="s">
        <v>34</v>
      </c>
      <c r="LB63" s="12" t="s">
        <v>619</v>
      </c>
      <c r="LC63" s="12" t="s">
        <v>34</v>
      </c>
      <c r="LD63" s="12" t="s">
        <v>34</v>
      </c>
      <c r="LE63" s="12" t="s">
        <v>619</v>
      </c>
      <c r="LF63" s="12" t="s">
        <v>34</v>
      </c>
      <c r="LG63" s="12" t="s">
        <v>34</v>
      </c>
      <c r="LH63" s="12" t="s">
        <v>34</v>
      </c>
      <c r="LI63" s="12" t="s">
        <v>619</v>
      </c>
      <c r="LJ63" s="12" t="s">
        <v>619</v>
      </c>
      <c r="LK63" s="12" t="s">
        <v>34</v>
      </c>
      <c r="LL63" s="13" t="s">
        <v>34</v>
      </c>
      <c r="LM63" s="13" t="s">
        <v>34</v>
      </c>
      <c r="LN63" s="13" t="s">
        <v>34</v>
      </c>
      <c r="LO63" s="13" t="s">
        <v>34</v>
      </c>
      <c r="LP63" s="90" t="s">
        <v>34</v>
      </c>
      <c r="LQ63" s="13" t="s">
        <v>34</v>
      </c>
      <c r="LR63" s="13" t="s">
        <v>34</v>
      </c>
      <c r="LS63" s="13"/>
      <c r="LT63" s="13" t="s">
        <v>34</v>
      </c>
      <c r="LU63" s="13" t="s">
        <v>34</v>
      </c>
      <c r="LV63" s="13" t="s">
        <v>34</v>
      </c>
      <c r="LW63" s="13" t="s">
        <v>34</v>
      </c>
      <c r="LX63" s="13" t="s">
        <v>34</v>
      </c>
      <c r="LY63" s="13" t="s">
        <v>34</v>
      </c>
      <c r="LZ63" s="13" t="s">
        <v>34</v>
      </c>
      <c r="MA63" s="13" t="s">
        <v>34</v>
      </c>
      <c r="MB63" s="13" t="s">
        <v>34</v>
      </c>
      <c r="MC63" s="13" t="s">
        <v>34</v>
      </c>
      <c r="MD63" s="13" t="s">
        <v>34</v>
      </c>
      <c r="ME63" s="13" t="s">
        <v>34</v>
      </c>
      <c r="MF63" s="13" t="s">
        <v>34</v>
      </c>
      <c r="MG63" s="13" t="s">
        <v>34</v>
      </c>
      <c r="MH63" s="13" t="s">
        <v>34</v>
      </c>
      <c r="MI63" s="13" t="s">
        <v>34</v>
      </c>
      <c r="MJ63" s="13" t="s">
        <v>34</v>
      </c>
      <c r="MK63" s="13" t="s">
        <v>34</v>
      </c>
      <c r="ML63" s="13" t="s">
        <v>34</v>
      </c>
      <c r="MM63" s="13" t="s">
        <v>34</v>
      </c>
      <c r="MN63" s="13" t="s">
        <v>34</v>
      </c>
      <c r="MO63" s="13" t="s">
        <v>34</v>
      </c>
      <c r="MP63" s="13" t="s">
        <v>34</v>
      </c>
      <c r="MQ63" s="13" t="s">
        <v>34</v>
      </c>
      <c r="MR63" s="13" t="s">
        <v>34</v>
      </c>
      <c r="MS63" s="13" t="s">
        <v>34</v>
      </c>
      <c r="MT63" s="13" t="s">
        <v>34</v>
      </c>
      <c r="MU63" s="13" t="s">
        <v>34</v>
      </c>
      <c r="MV63" s="13" t="s">
        <v>34</v>
      </c>
      <c r="MW63" s="13" t="s">
        <v>619</v>
      </c>
      <c r="MX63" s="13" t="s">
        <v>34</v>
      </c>
      <c r="MY63" s="28" t="s">
        <v>296</v>
      </c>
      <c r="MZ63" s="28" t="s">
        <v>297</v>
      </c>
      <c r="NA63" s="28" t="s">
        <v>297</v>
      </c>
      <c r="NB63" s="28" t="s">
        <v>296</v>
      </c>
      <c r="NC63" s="28" t="s">
        <v>297</v>
      </c>
      <c r="ND63" s="28" t="s">
        <v>297</v>
      </c>
      <c r="NE63" s="28" t="s">
        <v>296</v>
      </c>
      <c r="NF63" s="28" t="s">
        <v>296</v>
      </c>
      <c r="NG63" s="28" t="s">
        <v>297</v>
      </c>
      <c r="NH63" s="28" t="s">
        <v>297</v>
      </c>
      <c r="NI63" s="177" t="s">
        <v>296</v>
      </c>
      <c r="NJ63" s="177" t="s">
        <v>297</v>
      </c>
      <c r="NK63" s="177" t="s">
        <v>296</v>
      </c>
      <c r="NL63" s="177" t="s">
        <v>296</v>
      </c>
      <c r="NM63" s="177" t="s">
        <v>297</v>
      </c>
      <c r="NN63" s="177" t="s">
        <v>296</v>
      </c>
      <c r="NO63" s="177" t="s">
        <v>297</v>
      </c>
      <c r="NP63" s="177" t="s">
        <v>297</v>
      </c>
      <c r="NQ63" s="177" t="s">
        <v>297</v>
      </c>
      <c r="NR63" s="12" t="s">
        <v>34</v>
      </c>
      <c r="NS63" s="13" t="s">
        <v>34</v>
      </c>
    </row>
    <row r="64" spans="1:383" x14ac:dyDescent="0.25">
      <c r="A64" s="8" t="s">
        <v>168</v>
      </c>
      <c r="B64" s="9" t="s">
        <v>169</v>
      </c>
      <c r="C64" s="9">
        <v>32</v>
      </c>
      <c r="D64" s="9" t="s">
        <v>37</v>
      </c>
      <c r="E64" s="10">
        <v>332</v>
      </c>
      <c r="F64" s="10">
        <v>311</v>
      </c>
      <c r="G64" s="10">
        <v>263</v>
      </c>
      <c r="H64" s="10">
        <v>259</v>
      </c>
      <c r="I64" s="10">
        <v>144</v>
      </c>
      <c r="J64" s="11">
        <v>1048</v>
      </c>
      <c r="K64" s="11">
        <v>924</v>
      </c>
      <c r="L64" s="11">
        <v>866</v>
      </c>
      <c r="M64" s="11">
        <v>837</v>
      </c>
      <c r="N64" s="11">
        <v>303</v>
      </c>
      <c r="O64" s="13">
        <v>11543</v>
      </c>
      <c r="P64" s="13">
        <v>10230</v>
      </c>
      <c r="Q64" s="13">
        <v>8695</v>
      </c>
      <c r="R64" s="13">
        <v>7637</v>
      </c>
      <c r="S64" s="13">
        <v>3518</v>
      </c>
      <c r="T64" s="12">
        <v>3260</v>
      </c>
      <c r="U64" s="12">
        <v>3512</v>
      </c>
      <c r="V64" s="12">
        <v>2890</v>
      </c>
      <c r="W64" s="12">
        <v>2594</v>
      </c>
      <c r="X64" s="12">
        <v>838</v>
      </c>
      <c r="Y64" s="12">
        <v>3.85</v>
      </c>
      <c r="Z64" s="12">
        <v>3.86</v>
      </c>
      <c r="AA64" s="12">
        <v>3.86</v>
      </c>
      <c r="AB64" s="13">
        <v>3.51</v>
      </c>
      <c r="AC64" s="13">
        <v>3.52</v>
      </c>
      <c r="AD64" s="13">
        <v>3.52</v>
      </c>
      <c r="AE64" s="35" t="s">
        <v>259</v>
      </c>
      <c r="AF64" s="35" t="s">
        <v>259</v>
      </c>
      <c r="AG64" s="35" t="s">
        <v>259</v>
      </c>
      <c r="AH64" s="38">
        <v>1</v>
      </c>
      <c r="AI64" s="38">
        <v>1</v>
      </c>
      <c r="AJ64" s="38">
        <v>1</v>
      </c>
      <c r="AK64" s="45" t="s">
        <v>288</v>
      </c>
      <c r="AL64" s="45" t="s">
        <v>34</v>
      </c>
      <c r="AM64" s="45" t="s">
        <v>290</v>
      </c>
      <c r="AN64" s="45" t="s">
        <v>293</v>
      </c>
      <c r="AO64" s="45" t="s">
        <v>34</v>
      </c>
      <c r="AP64" s="45" t="s">
        <v>34</v>
      </c>
      <c r="AQ64" s="53" t="s">
        <v>296</v>
      </c>
      <c r="AR64" s="56">
        <v>487</v>
      </c>
      <c r="AS64" s="57">
        <v>378</v>
      </c>
      <c r="AT64" s="56">
        <v>89</v>
      </c>
      <c r="AU64" s="57">
        <v>41338</v>
      </c>
      <c r="AV64" s="57">
        <v>36361</v>
      </c>
      <c r="AW64" s="57">
        <v>7387</v>
      </c>
      <c r="AX64" s="57">
        <v>163</v>
      </c>
      <c r="AY64" s="57">
        <v>139</v>
      </c>
      <c r="AZ64" s="57">
        <v>0</v>
      </c>
      <c r="BA64" s="57">
        <v>4831</v>
      </c>
      <c r="BB64" s="57">
        <v>8985</v>
      </c>
      <c r="BC64" s="57">
        <v>13274</v>
      </c>
      <c r="BD64" s="57">
        <v>3165</v>
      </c>
      <c r="BE64" s="57">
        <v>7379</v>
      </c>
      <c r="BF64" s="57">
        <v>6843</v>
      </c>
      <c r="BG64" s="57">
        <v>997</v>
      </c>
      <c r="BH64" s="57">
        <v>3216</v>
      </c>
      <c r="BI64" s="57">
        <v>2994</v>
      </c>
      <c r="BJ64" s="57" t="s">
        <v>296</v>
      </c>
      <c r="BK64" s="57">
        <v>50</v>
      </c>
      <c r="BL64" s="57">
        <v>0</v>
      </c>
      <c r="BM64" s="57">
        <v>0</v>
      </c>
      <c r="BN64" s="57">
        <v>3913</v>
      </c>
      <c r="BO64" s="57">
        <v>406</v>
      </c>
      <c r="BP64" s="57">
        <v>4652</v>
      </c>
      <c r="BQ64" s="76">
        <v>1284</v>
      </c>
      <c r="BR64" s="76">
        <v>1277</v>
      </c>
      <c r="BS64">
        <v>1236</v>
      </c>
      <c r="BT64">
        <v>1236</v>
      </c>
      <c r="BU64">
        <v>1229</v>
      </c>
      <c r="BV64">
        <v>141844</v>
      </c>
      <c r="BW64">
        <v>139643</v>
      </c>
      <c r="BX64">
        <v>137347</v>
      </c>
      <c r="BY64">
        <v>134968</v>
      </c>
      <c r="BZ64">
        <v>131696</v>
      </c>
      <c r="CA64">
        <v>303</v>
      </c>
      <c r="CB64">
        <v>311</v>
      </c>
      <c r="CC64">
        <v>269</v>
      </c>
      <c r="CD64">
        <v>229</v>
      </c>
      <c r="CE64">
        <v>124</v>
      </c>
      <c r="CF64">
        <v>14803</v>
      </c>
      <c r="CG64">
        <v>13742</v>
      </c>
      <c r="CH64">
        <v>11585</v>
      </c>
      <c r="CI64">
        <v>10231</v>
      </c>
      <c r="CJ64">
        <v>4356</v>
      </c>
      <c r="CK64" s="10">
        <v>15</v>
      </c>
      <c r="CL64" s="10">
        <v>15.1</v>
      </c>
      <c r="CM64" s="10">
        <v>15.1</v>
      </c>
      <c r="CN64" s="11">
        <v>14.98</v>
      </c>
      <c r="CO64" s="11">
        <v>14.97</v>
      </c>
      <c r="CP64" s="11">
        <v>14.97</v>
      </c>
      <c r="CQ64" s="13">
        <v>101</v>
      </c>
      <c r="CR64" s="13">
        <v>30</v>
      </c>
      <c r="CS64" s="13">
        <v>2</v>
      </c>
      <c r="CT64" s="10">
        <v>0</v>
      </c>
      <c r="CU64" s="10">
        <v>0</v>
      </c>
      <c r="CV64" s="10">
        <v>37</v>
      </c>
      <c r="CW64" s="10">
        <v>37</v>
      </c>
      <c r="CX64" s="10">
        <v>8</v>
      </c>
      <c r="CY64" s="10">
        <v>0</v>
      </c>
      <c r="CZ64" s="10">
        <v>0</v>
      </c>
      <c r="DA64" s="10">
        <v>0</v>
      </c>
      <c r="DB64" s="10">
        <v>0</v>
      </c>
      <c r="DC64" s="10">
        <v>0</v>
      </c>
      <c r="DD64" s="10">
        <v>0</v>
      </c>
      <c r="DE64" s="10">
        <v>0</v>
      </c>
      <c r="DF64" s="10">
        <v>6</v>
      </c>
      <c r="DG64" s="10">
        <v>0</v>
      </c>
      <c r="DH64" s="10">
        <v>3</v>
      </c>
      <c r="DI64" s="81">
        <v>5</v>
      </c>
      <c r="DJ64" s="81">
        <v>3</v>
      </c>
      <c r="DK64" s="81">
        <v>20</v>
      </c>
      <c r="DL64" s="81">
        <v>5</v>
      </c>
      <c r="DM64" s="81">
        <v>38</v>
      </c>
      <c r="DN64" s="12">
        <v>10</v>
      </c>
      <c r="DO64" s="12">
        <v>0</v>
      </c>
      <c r="DP64" s="12">
        <v>13</v>
      </c>
      <c r="DQ64" s="12">
        <v>3</v>
      </c>
      <c r="DR64" s="12">
        <v>0</v>
      </c>
      <c r="DS64" s="12">
        <v>0</v>
      </c>
      <c r="DT64" s="12">
        <v>2</v>
      </c>
      <c r="DU64" s="12">
        <v>1</v>
      </c>
      <c r="DV64" s="12">
        <v>10</v>
      </c>
      <c r="DW64" s="12">
        <v>17</v>
      </c>
      <c r="DX64" s="12">
        <v>7</v>
      </c>
      <c r="DY64" s="12">
        <v>33</v>
      </c>
      <c r="DZ64" s="12">
        <v>15</v>
      </c>
      <c r="EA64" s="12">
        <v>0</v>
      </c>
      <c r="EB64" s="12">
        <v>16</v>
      </c>
      <c r="EC64" s="12">
        <v>0</v>
      </c>
      <c r="ED64" s="12">
        <v>13</v>
      </c>
      <c r="EE64" s="12">
        <v>3</v>
      </c>
      <c r="EF64" s="12">
        <v>14</v>
      </c>
      <c r="EG64" s="12">
        <v>1</v>
      </c>
      <c r="EH64" s="12">
        <v>0</v>
      </c>
      <c r="EI64" s="12">
        <v>2</v>
      </c>
      <c r="EJ64" s="12">
        <v>9</v>
      </c>
      <c r="EK64" s="12">
        <v>12</v>
      </c>
      <c r="EL64" s="12">
        <v>1</v>
      </c>
      <c r="EM64" s="12">
        <v>15</v>
      </c>
      <c r="EN64" s="12">
        <v>3</v>
      </c>
      <c r="EO64" s="12">
        <v>2</v>
      </c>
      <c r="EP64" s="12">
        <v>5</v>
      </c>
      <c r="EQ64" s="12">
        <v>14</v>
      </c>
      <c r="ER64" s="12">
        <v>2</v>
      </c>
      <c r="ES64" s="13">
        <v>118</v>
      </c>
      <c r="ET64" s="13">
        <v>15</v>
      </c>
      <c r="EU64" s="13">
        <v>6</v>
      </c>
      <c r="EV64" s="10">
        <v>2</v>
      </c>
      <c r="EW64" s="10">
        <v>42</v>
      </c>
      <c r="EX64" s="10">
        <v>15</v>
      </c>
      <c r="EY64" s="10">
        <v>23</v>
      </c>
      <c r="EZ64" s="10">
        <v>0</v>
      </c>
      <c r="FA64" s="10">
        <v>3</v>
      </c>
      <c r="FB64" s="10">
        <v>24</v>
      </c>
      <c r="FC64" s="10">
        <v>0</v>
      </c>
      <c r="FD64" s="10">
        <v>5</v>
      </c>
      <c r="FE64" s="10">
        <v>1</v>
      </c>
      <c r="FF64" s="10">
        <v>2</v>
      </c>
      <c r="FG64" s="10">
        <v>1</v>
      </c>
      <c r="FH64" s="10">
        <v>3</v>
      </c>
      <c r="FI64" s="10">
        <v>0</v>
      </c>
      <c r="FJ64" s="10">
        <v>0</v>
      </c>
      <c r="FK64" s="81">
        <v>7</v>
      </c>
      <c r="FL64" s="81">
        <v>5</v>
      </c>
      <c r="FM64" s="81">
        <v>12</v>
      </c>
      <c r="FN64" s="81">
        <v>0</v>
      </c>
      <c r="FO64" s="81">
        <v>30</v>
      </c>
      <c r="FP64" s="12">
        <v>13</v>
      </c>
      <c r="FQ64" s="12">
        <v>0</v>
      </c>
      <c r="FR64" s="12">
        <v>15</v>
      </c>
      <c r="FS64" s="12">
        <v>1</v>
      </c>
      <c r="FT64" s="12">
        <v>5</v>
      </c>
      <c r="FU64" s="12">
        <v>0</v>
      </c>
      <c r="FV64" s="12">
        <v>0</v>
      </c>
      <c r="FW64" s="12">
        <v>0</v>
      </c>
      <c r="FX64" s="12">
        <v>6</v>
      </c>
      <c r="FY64" s="12">
        <v>9</v>
      </c>
      <c r="FZ64" s="12">
        <v>7</v>
      </c>
      <c r="GA64" s="12">
        <v>22</v>
      </c>
      <c r="GB64" s="12">
        <v>2</v>
      </c>
      <c r="GC64" s="12">
        <v>1</v>
      </c>
      <c r="GD64" s="12">
        <v>31</v>
      </c>
      <c r="GE64" s="12">
        <v>0</v>
      </c>
      <c r="GF64" s="12">
        <v>7</v>
      </c>
      <c r="GG64" s="12">
        <v>14</v>
      </c>
      <c r="GH64" s="12">
        <v>15</v>
      </c>
      <c r="GI64" s="12">
        <v>4</v>
      </c>
      <c r="GJ64" s="12">
        <v>0</v>
      </c>
      <c r="GK64" s="12">
        <v>2</v>
      </c>
      <c r="GL64" s="12">
        <v>17</v>
      </c>
      <c r="GM64" s="12">
        <v>16</v>
      </c>
      <c r="GN64" s="12">
        <v>3</v>
      </c>
      <c r="GO64" s="12">
        <v>10</v>
      </c>
      <c r="GP64" s="12">
        <v>13</v>
      </c>
      <c r="GQ64" s="12">
        <v>17</v>
      </c>
      <c r="GR64" s="12">
        <v>4</v>
      </c>
      <c r="GS64" s="12">
        <v>11</v>
      </c>
      <c r="GT64" s="12">
        <v>0</v>
      </c>
      <c r="GU64" s="13">
        <v>378</v>
      </c>
      <c r="GV64" s="13">
        <v>52</v>
      </c>
      <c r="GW64" s="13">
        <v>0</v>
      </c>
      <c r="GX64" s="13">
        <v>0</v>
      </c>
      <c r="GY64" s="10">
        <v>0</v>
      </c>
      <c r="GZ64" s="10">
        <v>0</v>
      </c>
      <c r="HA64" s="10">
        <v>9</v>
      </c>
      <c r="HB64" s="10">
        <v>39</v>
      </c>
      <c r="HC64" s="10">
        <v>0</v>
      </c>
      <c r="HD64" s="10">
        <v>0</v>
      </c>
      <c r="HE64" s="10">
        <v>0</v>
      </c>
      <c r="HF64" s="10">
        <v>0</v>
      </c>
      <c r="HG64" s="10">
        <v>0</v>
      </c>
      <c r="HH64" s="10">
        <v>0</v>
      </c>
      <c r="HI64" s="10">
        <v>0</v>
      </c>
      <c r="HJ64" s="10">
        <v>0</v>
      </c>
      <c r="HK64" s="10">
        <v>0</v>
      </c>
      <c r="HL64" s="10">
        <v>0</v>
      </c>
      <c r="HM64" s="10">
        <v>0</v>
      </c>
      <c r="HN64" s="81">
        <v>0</v>
      </c>
      <c r="HO64" s="81">
        <v>0</v>
      </c>
      <c r="HP64" s="81">
        <v>5</v>
      </c>
      <c r="HQ64" s="81">
        <v>0</v>
      </c>
      <c r="HR64" s="81">
        <v>0</v>
      </c>
      <c r="HS64" s="12">
        <v>0</v>
      </c>
      <c r="HT64" s="12">
        <v>0</v>
      </c>
      <c r="HU64" s="12">
        <v>0</v>
      </c>
      <c r="HV64" s="12">
        <v>0</v>
      </c>
      <c r="HW64" s="12">
        <v>0</v>
      </c>
      <c r="HX64" s="12">
        <v>0</v>
      </c>
      <c r="HY64" s="12">
        <v>0</v>
      </c>
      <c r="HZ64" s="12">
        <v>0</v>
      </c>
      <c r="IA64" s="12">
        <v>0</v>
      </c>
      <c r="IB64" s="12">
        <v>0</v>
      </c>
      <c r="IC64" s="12">
        <v>1</v>
      </c>
      <c r="ID64" s="12">
        <v>0</v>
      </c>
      <c r="IE64" s="12">
        <v>0</v>
      </c>
      <c r="IF64" s="12">
        <v>0</v>
      </c>
      <c r="IG64" s="12">
        <v>1</v>
      </c>
      <c r="IH64" s="12">
        <v>0</v>
      </c>
      <c r="II64" s="12">
        <v>0</v>
      </c>
      <c r="IJ64" s="12">
        <v>0</v>
      </c>
      <c r="IK64" s="12">
        <v>0</v>
      </c>
      <c r="IL64" s="12">
        <v>0</v>
      </c>
      <c r="IM64" s="12">
        <v>0</v>
      </c>
      <c r="IN64" s="12">
        <v>0</v>
      </c>
      <c r="IO64" s="12">
        <v>0</v>
      </c>
      <c r="IP64" s="12">
        <v>0</v>
      </c>
      <c r="IQ64" s="12">
        <v>0</v>
      </c>
      <c r="IR64" s="12">
        <v>0</v>
      </c>
      <c r="IS64" s="12">
        <v>0</v>
      </c>
      <c r="IT64" s="12">
        <v>0</v>
      </c>
      <c r="IU64" s="12">
        <v>0</v>
      </c>
      <c r="IV64" s="12">
        <v>0</v>
      </c>
      <c r="IW64" s="12">
        <v>0</v>
      </c>
      <c r="IX64" s="11">
        <v>65000</v>
      </c>
      <c r="IY64" s="11">
        <v>68000</v>
      </c>
      <c r="IZ64" s="11">
        <v>30000</v>
      </c>
      <c r="JA64" s="85" t="s">
        <v>603</v>
      </c>
      <c r="JB64" s="85">
        <v>1</v>
      </c>
      <c r="JC64" s="85">
        <v>0</v>
      </c>
      <c r="JD64" s="12">
        <v>35</v>
      </c>
      <c r="JE64" s="12">
        <v>29</v>
      </c>
      <c r="JF64" s="12">
        <v>35</v>
      </c>
      <c r="JG64" s="12">
        <v>27</v>
      </c>
      <c r="JH64" s="12">
        <v>35</v>
      </c>
      <c r="JI64" s="12">
        <v>23</v>
      </c>
      <c r="JJ64" s="13" t="s">
        <v>619</v>
      </c>
      <c r="JK64" s="13" t="s">
        <v>619</v>
      </c>
      <c r="JL64" s="13" t="s">
        <v>296</v>
      </c>
      <c r="JM64" s="89"/>
      <c r="JN64" s="89"/>
      <c r="JO64" s="89" t="s">
        <v>296</v>
      </c>
      <c r="JP64" s="89"/>
      <c r="JQ64" s="89"/>
      <c r="JR64" s="89" t="s">
        <v>296</v>
      </c>
      <c r="JS64" s="89" t="s">
        <v>619</v>
      </c>
      <c r="JT64" s="89" t="s">
        <v>619</v>
      </c>
      <c r="JU64" s="89" t="s">
        <v>296</v>
      </c>
      <c r="JV64" s="89"/>
      <c r="JW64" s="89"/>
      <c r="JX64" s="89" t="s">
        <v>296</v>
      </c>
      <c r="JY64" s="12" t="s">
        <v>34</v>
      </c>
      <c r="JZ64" s="12" t="s">
        <v>34</v>
      </c>
      <c r="KA64" s="12" t="s">
        <v>34</v>
      </c>
      <c r="KB64" s="12" t="s">
        <v>34</v>
      </c>
      <c r="KC64" s="12" t="s">
        <v>34</v>
      </c>
      <c r="KD64" s="12" t="s">
        <v>34</v>
      </c>
      <c r="KE64" s="12" t="s">
        <v>34</v>
      </c>
      <c r="KF64" s="12"/>
      <c r="KG64" s="12" t="s">
        <v>34</v>
      </c>
      <c r="KH64" s="12" t="s">
        <v>34</v>
      </c>
      <c r="KI64" s="12" t="s">
        <v>34</v>
      </c>
      <c r="KJ64" s="12" t="s">
        <v>34</v>
      </c>
      <c r="KK64" s="12" t="s">
        <v>34</v>
      </c>
      <c r="KL64" s="12" t="s">
        <v>34</v>
      </c>
      <c r="KM64" s="12" t="s">
        <v>34</v>
      </c>
      <c r="KN64" s="12" t="s">
        <v>34</v>
      </c>
      <c r="KO64" s="12" t="s">
        <v>34</v>
      </c>
      <c r="KP64" s="12" t="s">
        <v>34</v>
      </c>
      <c r="KQ64" s="12" t="s">
        <v>619</v>
      </c>
      <c r="KR64" s="12" t="s">
        <v>619</v>
      </c>
      <c r="KS64" s="12" t="s">
        <v>619</v>
      </c>
      <c r="KT64" s="12" t="s">
        <v>34</v>
      </c>
      <c r="KU64" s="12" t="s">
        <v>34</v>
      </c>
      <c r="KV64" s="12" t="s">
        <v>619</v>
      </c>
      <c r="KW64" s="12" t="s">
        <v>34</v>
      </c>
      <c r="KX64" s="12" t="s">
        <v>619</v>
      </c>
      <c r="KY64" s="12" t="s">
        <v>619</v>
      </c>
      <c r="KZ64" s="12" t="s">
        <v>619</v>
      </c>
      <c r="LA64" s="12" t="s">
        <v>34</v>
      </c>
      <c r="LB64" s="12" t="s">
        <v>619</v>
      </c>
      <c r="LC64" s="12" t="s">
        <v>34</v>
      </c>
      <c r="LD64" s="12" t="s">
        <v>619</v>
      </c>
      <c r="LE64" s="12" t="s">
        <v>619</v>
      </c>
      <c r="LF64" s="12" t="s">
        <v>34</v>
      </c>
      <c r="LG64" s="12" t="s">
        <v>34</v>
      </c>
      <c r="LH64" s="12" t="s">
        <v>34</v>
      </c>
      <c r="LI64" s="12" t="s">
        <v>619</v>
      </c>
      <c r="LJ64" s="12" t="s">
        <v>619</v>
      </c>
      <c r="LK64" s="12" t="s">
        <v>34</v>
      </c>
      <c r="LL64" s="13" t="s">
        <v>34</v>
      </c>
      <c r="LM64" s="13" t="s">
        <v>34</v>
      </c>
      <c r="LN64" s="13" t="s">
        <v>34</v>
      </c>
      <c r="LO64" s="13" t="s">
        <v>34</v>
      </c>
      <c r="LP64" s="90" t="s">
        <v>34</v>
      </c>
      <c r="LQ64" s="13" t="s">
        <v>34</v>
      </c>
      <c r="LR64" s="13" t="s">
        <v>34</v>
      </c>
      <c r="LS64" s="13"/>
      <c r="LT64" s="13" t="s">
        <v>34</v>
      </c>
      <c r="LU64" s="13" t="s">
        <v>34</v>
      </c>
      <c r="LV64" s="13" t="s">
        <v>34</v>
      </c>
      <c r="LW64" s="13" t="s">
        <v>34</v>
      </c>
      <c r="LX64" s="13" t="s">
        <v>34</v>
      </c>
      <c r="LY64" s="13" t="s">
        <v>34</v>
      </c>
      <c r="LZ64" s="13" t="s">
        <v>619</v>
      </c>
      <c r="MA64" s="13" t="s">
        <v>34</v>
      </c>
      <c r="MB64" s="13" t="s">
        <v>34</v>
      </c>
      <c r="MC64" s="13" t="s">
        <v>34</v>
      </c>
      <c r="MD64" s="13" t="s">
        <v>619</v>
      </c>
      <c r="ME64" s="13" t="s">
        <v>34</v>
      </c>
      <c r="MF64" s="13" t="s">
        <v>619</v>
      </c>
      <c r="MG64" s="13" t="s">
        <v>34</v>
      </c>
      <c r="MH64" s="13" t="s">
        <v>34</v>
      </c>
      <c r="MI64" s="13" t="s">
        <v>34</v>
      </c>
      <c r="MJ64" s="13" t="s">
        <v>34</v>
      </c>
      <c r="MK64" s="13" t="s">
        <v>34</v>
      </c>
      <c r="ML64" s="13" t="s">
        <v>619</v>
      </c>
      <c r="MM64" s="13" t="s">
        <v>619</v>
      </c>
      <c r="MN64" s="13" t="s">
        <v>34</v>
      </c>
      <c r="MO64" s="13" t="s">
        <v>619</v>
      </c>
      <c r="MP64" s="13" t="s">
        <v>619</v>
      </c>
      <c r="MQ64" s="13" t="s">
        <v>34</v>
      </c>
      <c r="MR64" s="13" t="s">
        <v>34</v>
      </c>
      <c r="MS64" s="13" t="s">
        <v>34</v>
      </c>
      <c r="MT64" s="13" t="s">
        <v>34</v>
      </c>
      <c r="MU64" s="13" t="s">
        <v>34</v>
      </c>
      <c r="MV64" s="13" t="s">
        <v>34</v>
      </c>
      <c r="MW64" s="13" t="s">
        <v>34</v>
      </c>
      <c r="MX64" s="13" t="s">
        <v>34</v>
      </c>
      <c r="MY64" s="28" t="s">
        <v>297</v>
      </c>
      <c r="MZ64" s="28" t="s">
        <v>296</v>
      </c>
      <c r="NA64" s="28" t="s">
        <v>296</v>
      </c>
      <c r="NB64" s="28" t="s">
        <v>296</v>
      </c>
      <c r="NC64" s="28" t="s">
        <v>296</v>
      </c>
      <c r="ND64" s="28" t="s">
        <v>297</v>
      </c>
      <c r="NE64" s="28" t="s">
        <v>296</v>
      </c>
      <c r="NF64" s="28" t="s">
        <v>296</v>
      </c>
      <c r="NG64" s="28" t="s">
        <v>297</v>
      </c>
      <c r="NH64" s="28" t="s">
        <v>297</v>
      </c>
      <c r="NI64" s="177" t="s">
        <v>296</v>
      </c>
      <c r="NJ64" s="177" t="s">
        <v>297</v>
      </c>
      <c r="NK64" s="177" t="s">
        <v>296</v>
      </c>
      <c r="NL64" s="177" t="s">
        <v>297</v>
      </c>
      <c r="NM64" s="177" t="s">
        <v>296</v>
      </c>
      <c r="NN64" s="177" t="s">
        <v>296</v>
      </c>
      <c r="NO64" s="177" t="s">
        <v>296</v>
      </c>
      <c r="NP64" s="177" t="s">
        <v>296</v>
      </c>
      <c r="NQ64" s="177" t="s">
        <v>296</v>
      </c>
      <c r="NR64" s="12" t="s">
        <v>34</v>
      </c>
      <c r="NS64" s="13" t="s">
        <v>34</v>
      </c>
    </row>
    <row r="65" spans="1:383" x14ac:dyDescent="0.25">
      <c r="A65" s="8" t="s">
        <v>170</v>
      </c>
      <c r="B65" s="9" t="s">
        <v>171</v>
      </c>
      <c r="C65" s="9">
        <v>84</v>
      </c>
      <c r="D65" s="9" t="s">
        <v>33</v>
      </c>
      <c r="E65" s="10">
        <v>95</v>
      </c>
      <c r="F65" s="10">
        <v>94</v>
      </c>
      <c r="G65" s="10">
        <v>87</v>
      </c>
      <c r="H65" s="10">
        <v>83</v>
      </c>
      <c r="I65" s="10">
        <v>49</v>
      </c>
      <c r="J65" s="11">
        <v>458</v>
      </c>
      <c r="K65" s="11">
        <v>420</v>
      </c>
      <c r="L65" s="11">
        <v>369</v>
      </c>
      <c r="M65" s="11">
        <v>407</v>
      </c>
      <c r="N65" s="11">
        <v>180</v>
      </c>
      <c r="O65" s="13">
        <v>7399</v>
      </c>
      <c r="P65" s="13">
        <v>6701</v>
      </c>
      <c r="Q65" s="13">
        <v>6759</v>
      </c>
      <c r="R65" s="13">
        <v>7101</v>
      </c>
      <c r="S65" s="13">
        <v>3599</v>
      </c>
      <c r="T65" s="12">
        <v>1159</v>
      </c>
      <c r="U65" s="12">
        <v>1299</v>
      </c>
      <c r="V65" s="12">
        <v>1185</v>
      </c>
      <c r="W65" s="12">
        <v>1425</v>
      </c>
      <c r="X65" s="12">
        <v>141</v>
      </c>
      <c r="Y65" s="12">
        <v>9</v>
      </c>
      <c r="Z65" s="12">
        <v>9</v>
      </c>
      <c r="AA65" s="12">
        <v>9</v>
      </c>
      <c r="AB65" s="13">
        <v>9</v>
      </c>
      <c r="AC65" s="13">
        <v>9</v>
      </c>
      <c r="AD65" s="13">
        <v>9</v>
      </c>
      <c r="AE65" s="35" t="s">
        <v>258</v>
      </c>
      <c r="AF65" s="35" t="s">
        <v>268</v>
      </c>
      <c r="AG65" s="35" t="s">
        <v>258</v>
      </c>
      <c r="AH65" s="38">
        <v>1</v>
      </c>
      <c r="AI65" s="38">
        <v>1</v>
      </c>
      <c r="AJ65" s="38">
        <v>1</v>
      </c>
      <c r="AK65" s="45" t="s">
        <v>34</v>
      </c>
      <c r="AL65" s="45" t="s">
        <v>34</v>
      </c>
      <c r="AM65" s="45" t="s">
        <v>34</v>
      </c>
      <c r="AN65" s="45" t="s">
        <v>34</v>
      </c>
      <c r="AO65" s="45" t="s">
        <v>34</v>
      </c>
      <c r="AP65" s="45" t="s">
        <v>292</v>
      </c>
      <c r="AQ65" s="53" t="s">
        <v>297</v>
      </c>
      <c r="AR65" s="56">
        <v>57</v>
      </c>
      <c r="AS65" s="57">
        <v>19</v>
      </c>
      <c r="AT65" s="56">
        <v>10</v>
      </c>
      <c r="AU65" s="57">
        <v>8994</v>
      </c>
      <c r="AV65" s="57">
        <v>3724</v>
      </c>
      <c r="AW65" s="57">
        <v>1299</v>
      </c>
      <c r="AX65" s="57">
        <v>0</v>
      </c>
      <c r="AY65" s="57">
        <v>1</v>
      </c>
      <c r="AZ65" s="57">
        <v>0</v>
      </c>
      <c r="BA65" s="57">
        <v>1956</v>
      </c>
      <c r="BB65" s="57">
        <v>2116</v>
      </c>
      <c r="BC65" s="57">
        <v>2022</v>
      </c>
      <c r="BD65" s="57">
        <v>1327</v>
      </c>
      <c r="BE65" s="57">
        <v>1507</v>
      </c>
      <c r="BF65" s="57">
        <v>900</v>
      </c>
      <c r="BG65" s="57">
        <v>240</v>
      </c>
      <c r="BH65" s="57">
        <v>463</v>
      </c>
      <c r="BI65" s="57">
        <v>630</v>
      </c>
      <c r="BJ65" s="57" t="s">
        <v>297</v>
      </c>
      <c r="BK65" s="57">
        <v>67</v>
      </c>
      <c r="BL65" s="57">
        <v>0</v>
      </c>
      <c r="BM65" s="57">
        <v>0</v>
      </c>
      <c r="BN65" s="57">
        <v>0</v>
      </c>
      <c r="BO65" s="57">
        <v>43</v>
      </c>
      <c r="BP65" s="57">
        <v>85</v>
      </c>
      <c r="BQ65" s="76">
        <v>505</v>
      </c>
      <c r="BR65" s="76">
        <v>500</v>
      </c>
      <c r="BS65">
        <v>494</v>
      </c>
      <c r="BT65">
        <v>494</v>
      </c>
      <c r="BU65">
        <v>493</v>
      </c>
      <c r="BV65">
        <v>51136</v>
      </c>
      <c r="BW65">
        <v>50788</v>
      </c>
      <c r="BX65">
        <v>50555</v>
      </c>
      <c r="BY65">
        <v>50227</v>
      </c>
      <c r="BZ65">
        <v>49854</v>
      </c>
      <c r="CA65">
        <v>127</v>
      </c>
      <c r="CB65">
        <v>125</v>
      </c>
      <c r="CC65">
        <v>112</v>
      </c>
      <c r="CD65">
        <v>108</v>
      </c>
      <c r="CE65">
        <v>48</v>
      </c>
      <c r="CF65">
        <v>8558</v>
      </c>
      <c r="CG65">
        <v>8000</v>
      </c>
      <c r="CH65">
        <v>7944</v>
      </c>
      <c r="CI65">
        <v>8526</v>
      </c>
      <c r="CJ65">
        <v>3740</v>
      </c>
      <c r="CK65" s="10">
        <v>33</v>
      </c>
      <c r="CL65" s="10">
        <v>33</v>
      </c>
      <c r="CM65" s="10">
        <v>33</v>
      </c>
      <c r="CN65" s="11">
        <v>16</v>
      </c>
      <c r="CO65" s="11">
        <v>16</v>
      </c>
      <c r="CP65" s="11">
        <v>16</v>
      </c>
      <c r="CQ65" s="13">
        <v>17</v>
      </c>
      <c r="CR65" s="13">
        <v>0</v>
      </c>
      <c r="CS65" s="13">
        <v>0</v>
      </c>
      <c r="CT65" s="10">
        <v>0</v>
      </c>
      <c r="CU65" s="10">
        <v>0</v>
      </c>
      <c r="CV65" s="10">
        <v>5</v>
      </c>
      <c r="CW65" s="10">
        <v>0</v>
      </c>
      <c r="CX65" s="10">
        <v>1</v>
      </c>
      <c r="CY65" s="10">
        <v>0</v>
      </c>
      <c r="CZ65" s="10">
        <v>0</v>
      </c>
      <c r="DA65" s="10">
        <v>0</v>
      </c>
      <c r="DB65" s="10">
        <v>2</v>
      </c>
      <c r="DC65" s="10">
        <v>0</v>
      </c>
      <c r="DD65" s="10">
        <v>0</v>
      </c>
      <c r="DE65" s="10">
        <v>0</v>
      </c>
      <c r="DF65" s="10">
        <v>0</v>
      </c>
      <c r="DG65" s="10">
        <v>0</v>
      </c>
      <c r="DH65" s="10">
        <v>0</v>
      </c>
      <c r="DI65" s="81">
        <v>0</v>
      </c>
      <c r="DJ65" s="81">
        <v>0</v>
      </c>
      <c r="DK65" s="81">
        <v>0</v>
      </c>
      <c r="DL65" s="81">
        <v>0</v>
      </c>
      <c r="DM65" s="81">
        <v>10</v>
      </c>
      <c r="DN65" s="12">
        <v>4</v>
      </c>
      <c r="DO65" s="12">
        <v>0</v>
      </c>
      <c r="DP65" s="12">
        <v>0</v>
      </c>
      <c r="DQ65" s="12">
        <v>0</v>
      </c>
      <c r="DR65" s="12">
        <v>0</v>
      </c>
      <c r="DS65" s="12">
        <v>0</v>
      </c>
      <c r="DT65" s="12">
        <v>0</v>
      </c>
      <c r="DU65" s="12">
        <v>0</v>
      </c>
      <c r="DV65" s="12">
        <v>3</v>
      </c>
      <c r="DW65" s="12">
        <v>2</v>
      </c>
      <c r="DX65" s="12">
        <v>3</v>
      </c>
      <c r="DY65" s="12">
        <v>1</v>
      </c>
      <c r="DZ65" s="12">
        <v>0</v>
      </c>
      <c r="EA65" s="12">
        <v>0</v>
      </c>
      <c r="EB65" s="12">
        <v>0</v>
      </c>
      <c r="EC65" s="12">
        <v>0</v>
      </c>
      <c r="ED65" s="12">
        <v>1</v>
      </c>
      <c r="EE65" s="12">
        <v>3</v>
      </c>
      <c r="EF65" s="12">
        <v>0</v>
      </c>
      <c r="EG65" s="12">
        <v>0</v>
      </c>
      <c r="EH65" s="12">
        <v>0</v>
      </c>
      <c r="EI65" s="12">
        <v>0</v>
      </c>
      <c r="EJ65" s="12">
        <v>1</v>
      </c>
      <c r="EK65" s="12">
        <v>0</v>
      </c>
      <c r="EL65" s="12">
        <v>2</v>
      </c>
      <c r="EM65" s="12">
        <v>0</v>
      </c>
      <c r="EN65" s="12">
        <v>0</v>
      </c>
      <c r="EO65" s="12">
        <v>4</v>
      </c>
      <c r="EP65" s="12">
        <v>2</v>
      </c>
      <c r="EQ65" s="12">
        <v>2</v>
      </c>
      <c r="ER65" s="12">
        <v>0</v>
      </c>
      <c r="ES65" s="13">
        <v>8</v>
      </c>
      <c r="ET65" s="13">
        <v>0</v>
      </c>
      <c r="EU65" s="13">
        <v>0</v>
      </c>
      <c r="EV65" s="10">
        <v>0</v>
      </c>
      <c r="EW65" s="10">
        <v>0</v>
      </c>
      <c r="EX65" s="10">
        <v>0</v>
      </c>
      <c r="EY65" s="10">
        <v>1</v>
      </c>
      <c r="EZ65" s="10">
        <v>0</v>
      </c>
      <c r="FA65" s="10">
        <v>0</v>
      </c>
      <c r="FB65" s="10">
        <v>0</v>
      </c>
      <c r="FC65" s="10">
        <v>0</v>
      </c>
      <c r="FD65" s="10">
        <v>0</v>
      </c>
      <c r="FE65" s="10">
        <v>0</v>
      </c>
      <c r="FF65" s="10">
        <v>0</v>
      </c>
      <c r="FG65" s="10">
        <v>0</v>
      </c>
      <c r="FH65" s="10">
        <v>0</v>
      </c>
      <c r="FI65" s="10">
        <v>0</v>
      </c>
      <c r="FJ65" s="10">
        <v>0</v>
      </c>
      <c r="FK65" s="81">
        <v>0</v>
      </c>
      <c r="FL65" s="81">
        <v>0</v>
      </c>
      <c r="FM65" s="81">
        <v>0</v>
      </c>
      <c r="FN65" s="81">
        <v>0</v>
      </c>
      <c r="FO65" s="81">
        <v>8</v>
      </c>
      <c r="FP65" s="12">
        <v>0</v>
      </c>
      <c r="FQ65" s="12">
        <v>0</v>
      </c>
      <c r="FR65" s="12">
        <v>0</v>
      </c>
      <c r="FS65" s="12">
        <v>0</v>
      </c>
      <c r="FT65" s="12">
        <v>0</v>
      </c>
      <c r="FU65" s="12">
        <v>0</v>
      </c>
      <c r="FV65" s="12">
        <v>0</v>
      </c>
      <c r="FW65" s="12">
        <v>0</v>
      </c>
      <c r="FX65" s="12">
        <v>0</v>
      </c>
      <c r="FY65" s="12">
        <v>0</v>
      </c>
      <c r="FZ65" s="12">
        <v>0</v>
      </c>
      <c r="GA65" s="12">
        <v>0</v>
      </c>
      <c r="GB65" s="12">
        <v>0</v>
      </c>
      <c r="GC65" s="12">
        <v>0</v>
      </c>
      <c r="GD65" s="12">
        <v>0</v>
      </c>
      <c r="GE65" s="12">
        <v>0</v>
      </c>
      <c r="GF65" s="12">
        <v>0</v>
      </c>
      <c r="GG65" s="12">
        <v>1</v>
      </c>
      <c r="GH65" s="12">
        <v>0</v>
      </c>
      <c r="GI65" s="12">
        <v>0</v>
      </c>
      <c r="GJ65" s="12">
        <v>0</v>
      </c>
      <c r="GK65" s="12">
        <v>0</v>
      </c>
      <c r="GL65" s="12">
        <v>0</v>
      </c>
      <c r="GM65" s="12">
        <v>0</v>
      </c>
      <c r="GN65" s="12">
        <v>1</v>
      </c>
      <c r="GO65" s="12">
        <v>0</v>
      </c>
      <c r="GP65" s="12">
        <v>0</v>
      </c>
      <c r="GQ65" s="12">
        <v>0</v>
      </c>
      <c r="GR65" s="12">
        <v>0</v>
      </c>
      <c r="GS65" s="12">
        <v>0</v>
      </c>
      <c r="GT65" s="12">
        <v>0</v>
      </c>
      <c r="GU65" s="13">
        <v>19</v>
      </c>
      <c r="GV65" s="13">
        <v>4</v>
      </c>
      <c r="GW65" s="13">
        <v>0</v>
      </c>
      <c r="GX65" s="13">
        <v>0</v>
      </c>
      <c r="GY65" s="10">
        <v>0</v>
      </c>
      <c r="GZ65" s="10">
        <v>0</v>
      </c>
      <c r="HA65" s="10">
        <v>0</v>
      </c>
      <c r="HB65" s="10">
        <v>1</v>
      </c>
      <c r="HC65" s="10">
        <v>0</v>
      </c>
      <c r="HD65" s="10">
        <v>0</v>
      </c>
      <c r="HE65" s="10">
        <v>0</v>
      </c>
      <c r="HF65" s="10">
        <v>0</v>
      </c>
      <c r="HG65" s="10">
        <v>0</v>
      </c>
      <c r="HH65" s="10">
        <v>0</v>
      </c>
      <c r="HI65" s="10">
        <v>0</v>
      </c>
      <c r="HJ65" s="10">
        <v>0</v>
      </c>
      <c r="HK65" s="10">
        <v>0</v>
      </c>
      <c r="HL65" s="10">
        <v>0</v>
      </c>
      <c r="HM65" s="10">
        <v>0</v>
      </c>
      <c r="HN65" s="81">
        <v>0</v>
      </c>
      <c r="HO65" s="81">
        <v>0</v>
      </c>
      <c r="HP65" s="81">
        <v>0</v>
      </c>
      <c r="HQ65" s="81">
        <v>0</v>
      </c>
      <c r="HR65" s="81">
        <v>1</v>
      </c>
      <c r="HS65" s="12">
        <v>0</v>
      </c>
      <c r="HT65" s="12">
        <v>0</v>
      </c>
      <c r="HU65" s="12">
        <v>0</v>
      </c>
      <c r="HV65" s="12">
        <v>0</v>
      </c>
      <c r="HW65" s="12">
        <v>0</v>
      </c>
      <c r="HX65" s="12">
        <v>0</v>
      </c>
      <c r="HY65" s="12">
        <v>0</v>
      </c>
      <c r="HZ65" s="12">
        <v>0</v>
      </c>
      <c r="IA65" s="12">
        <v>0</v>
      </c>
      <c r="IB65" s="12">
        <v>0</v>
      </c>
      <c r="IC65" s="12">
        <v>0</v>
      </c>
      <c r="ID65" s="12">
        <v>0</v>
      </c>
      <c r="IE65" s="12">
        <v>0</v>
      </c>
      <c r="IF65" s="12">
        <v>0</v>
      </c>
      <c r="IG65" s="12">
        <v>1</v>
      </c>
      <c r="IH65" s="12">
        <v>0</v>
      </c>
      <c r="II65" s="12">
        <v>1</v>
      </c>
      <c r="IJ65" s="12">
        <v>0</v>
      </c>
      <c r="IK65" s="12">
        <v>0</v>
      </c>
      <c r="IL65" s="12">
        <v>0</v>
      </c>
      <c r="IM65" s="12">
        <v>0</v>
      </c>
      <c r="IN65" s="12">
        <v>0</v>
      </c>
      <c r="IO65" s="12">
        <v>1</v>
      </c>
      <c r="IP65" s="12">
        <v>0</v>
      </c>
      <c r="IQ65" s="12">
        <v>0</v>
      </c>
      <c r="IR65" s="12">
        <v>0</v>
      </c>
      <c r="IS65" s="12">
        <v>0</v>
      </c>
      <c r="IT65" s="12">
        <v>2</v>
      </c>
      <c r="IU65" s="12">
        <v>0</v>
      </c>
      <c r="IV65" s="12">
        <v>0</v>
      </c>
      <c r="IW65" s="12">
        <v>0</v>
      </c>
      <c r="IX65" s="11">
        <v>23000</v>
      </c>
      <c r="IY65" s="11">
        <v>23000</v>
      </c>
      <c r="IZ65" s="11">
        <v>23000</v>
      </c>
      <c r="JA65" s="85">
        <v>0</v>
      </c>
      <c r="JB65" s="85">
        <v>0</v>
      </c>
      <c r="JC65" s="85">
        <v>0</v>
      </c>
      <c r="JD65" s="12">
        <v>12</v>
      </c>
      <c r="JE65" s="12">
        <v>11</v>
      </c>
      <c r="JF65" s="12">
        <v>12</v>
      </c>
      <c r="JG65" s="12">
        <v>11</v>
      </c>
      <c r="JH65" s="12">
        <v>12</v>
      </c>
      <c r="JI65" s="12">
        <v>12</v>
      </c>
      <c r="JJ65" s="13" t="s">
        <v>619</v>
      </c>
      <c r="JK65" s="13" t="s">
        <v>619</v>
      </c>
      <c r="JL65" s="13" t="s">
        <v>296</v>
      </c>
      <c r="JM65" s="89"/>
      <c r="JN65" s="89"/>
      <c r="JO65" s="89" t="s">
        <v>297</v>
      </c>
      <c r="JP65" s="89"/>
      <c r="JQ65" s="89"/>
      <c r="JR65" s="89" t="s">
        <v>296</v>
      </c>
      <c r="JS65" s="89" t="s">
        <v>620</v>
      </c>
      <c r="JT65" s="89" t="s">
        <v>619</v>
      </c>
      <c r="JU65" s="89" t="s">
        <v>296</v>
      </c>
      <c r="JV65" s="89"/>
      <c r="JW65" s="89"/>
      <c r="JX65" s="89" t="s">
        <v>297</v>
      </c>
      <c r="JY65" s="12" t="s">
        <v>619</v>
      </c>
      <c r="JZ65" s="12" t="s">
        <v>34</v>
      </c>
      <c r="KA65" s="12" t="s">
        <v>34</v>
      </c>
      <c r="KB65" s="12" t="s">
        <v>619</v>
      </c>
      <c r="KC65" s="12" t="s">
        <v>34</v>
      </c>
      <c r="KD65" s="12" t="s">
        <v>34</v>
      </c>
      <c r="KE65" s="12" t="s">
        <v>34</v>
      </c>
      <c r="KF65" s="12"/>
      <c r="KG65" s="12" t="s">
        <v>619</v>
      </c>
      <c r="KH65" s="12" t="s">
        <v>34</v>
      </c>
      <c r="KI65" s="12" t="s">
        <v>34</v>
      </c>
      <c r="KJ65" s="12" t="s">
        <v>34</v>
      </c>
      <c r="KK65" s="12" t="s">
        <v>34</v>
      </c>
      <c r="KL65" s="12" t="s">
        <v>34</v>
      </c>
      <c r="KM65" s="12" t="s">
        <v>34</v>
      </c>
      <c r="KN65" s="12" t="s">
        <v>34</v>
      </c>
      <c r="KO65" s="12" t="s">
        <v>34</v>
      </c>
      <c r="KP65" s="12" t="s">
        <v>34</v>
      </c>
      <c r="KQ65" s="12" t="s">
        <v>34</v>
      </c>
      <c r="KR65" s="12" t="s">
        <v>619</v>
      </c>
      <c r="KS65" s="12" t="s">
        <v>34</v>
      </c>
      <c r="KT65" s="12" t="s">
        <v>34</v>
      </c>
      <c r="KU65" s="12" t="s">
        <v>34</v>
      </c>
      <c r="KV65" s="12" t="s">
        <v>619</v>
      </c>
      <c r="KW65" s="12" t="s">
        <v>34</v>
      </c>
      <c r="KX65" s="12" t="s">
        <v>34</v>
      </c>
      <c r="KY65" s="12" t="s">
        <v>619</v>
      </c>
      <c r="KZ65" s="12" t="s">
        <v>619</v>
      </c>
      <c r="LA65" s="12" t="s">
        <v>34</v>
      </c>
      <c r="LB65" s="12" t="s">
        <v>34</v>
      </c>
      <c r="LC65" s="12" t="s">
        <v>34</v>
      </c>
      <c r="LD65" s="12" t="s">
        <v>34</v>
      </c>
      <c r="LE65" s="12" t="s">
        <v>34</v>
      </c>
      <c r="LF65" s="12" t="s">
        <v>34</v>
      </c>
      <c r="LG65" s="12" t="s">
        <v>34</v>
      </c>
      <c r="LH65" s="12" t="s">
        <v>34</v>
      </c>
      <c r="LI65" s="12" t="s">
        <v>34</v>
      </c>
      <c r="LJ65" s="12" t="s">
        <v>34</v>
      </c>
      <c r="LK65" s="12" t="s">
        <v>34</v>
      </c>
      <c r="LL65" s="13" t="s">
        <v>34</v>
      </c>
      <c r="LM65" s="13" t="s">
        <v>34</v>
      </c>
      <c r="LN65" s="13" t="s">
        <v>619</v>
      </c>
      <c r="LO65" s="13" t="s">
        <v>34</v>
      </c>
      <c r="LP65" s="90" t="s">
        <v>619</v>
      </c>
      <c r="LQ65" s="13" t="s">
        <v>619</v>
      </c>
      <c r="LR65" s="13" t="s">
        <v>34</v>
      </c>
      <c r="LS65" s="13"/>
      <c r="LT65" s="13" t="s">
        <v>34</v>
      </c>
      <c r="LU65" s="13" t="s">
        <v>34</v>
      </c>
      <c r="LV65" s="13" t="s">
        <v>619</v>
      </c>
      <c r="LW65" s="13" t="s">
        <v>34</v>
      </c>
      <c r="LX65" s="13" t="s">
        <v>34</v>
      </c>
      <c r="LY65" s="13" t="s">
        <v>34</v>
      </c>
      <c r="LZ65" s="13" t="s">
        <v>34</v>
      </c>
      <c r="MA65" s="13" t="s">
        <v>34</v>
      </c>
      <c r="MB65" s="13" t="s">
        <v>619</v>
      </c>
      <c r="MC65" s="13" t="s">
        <v>34</v>
      </c>
      <c r="MD65" s="13" t="s">
        <v>619</v>
      </c>
      <c r="ME65" s="13" t="s">
        <v>34</v>
      </c>
      <c r="MF65" s="13" t="s">
        <v>34</v>
      </c>
      <c r="MG65" s="13" t="s">
        <v>34</v>
      </c>
      <c r="MH65" s="13" t="s">
        <v>34</v>
      </c>
      <c r="MI65" s="13" t="s">
        <v>34</v>
      </c>
      <c r="MJ65" s="13" t="s">
        <v>34</v>
      </c>
      <c r="MK65" s="13" t="s">
        <v>34</v>
      </c>
      <c r="ML65" s="13" t="s">
        <v>34</v>
      </c>
      <c r="MM65" s="13" t="s">
        <v>34</v>
      </c>
      <c r="MN65" s="13" t="s">
        <v>34</v>
      </c>
      <c r="MO65" s="13" t="s">
        <v>619</v>
      </c>
      <c r="MP65" s="13" t="s">
        <v>34</v>
      </c>
      <c r="MQ65" s="13" t="s">
        <v>34</v>
      </c>
      <c r="MR65" s="13" t="s">
        <v>619</v>
      </c>
      <c r="MS65" s="13" t="s">
        <v>34</v>
      </c>
      <c r="MT65" s="13" t="s">
        <v>34</v>
      </c>
      <c r="MU65" s="13" t="s">
        <v>34</v>
      </c>
      <c r="MV65" s="13" t="s">
        <v>619</v>
      </c>
      <c r="MW65" s="13" t="s">
        <v>619</v>
      </c>
      <c r="MX65" s="13" t="s">
        <v>34</v>
      </c>
      <c r="MY65" s="28" t="s">
        <v>296</v>
      </c>
      <c r="MZ65" s="28" t="s">
        <v>296</v>
      </c>
      <c r="NA65" s="28" t="s">
        <v>297</v>
      </c>
      <c r="NB65" s="28" t="s">
        <v>296</v>
      </c>
      <c r="NC65" s="28" t="s">
        <v>297</v>
      </c>
      <c r="ND65" s="28" t="s">
        <v>297</v>
      </c>
      <c r="NE65" s="28" t="s">
        <v>296</v>
      </c>
      <c r="NF65" s="28" t="s">
        <v>296</v>
      </c>
      <c r="NG65" s="28" t="s">
        <v>297</v>
      </c>
      <c r="NH65" s="28" t="s">
        <v>297</v>
      </c>
      <c r="NI65" s="177" t="s">
        <v>296</v>
      </c>
      <c r="NJ65" s="177" t="s">
        <v>297</v>
      </c>
      <c r="NK65" s="177" t="s">
        <v>296</v>
      </c>
      <c r="NL65" s="177" t="s">
        <v>297</v>
      </c>
      <c r="NM65" s="177" t="s">
        <v>296</v>
      </c>
      <c r="NN65" s="177" t="s">
        <v>296</v>
      </c>
      <c r="NO65" s="177" t="s">
        <v>296</v>
      </c>
      <c r="NP65" s="177" t="s">
        <v>297</v>
      </c>
      <c r="NQ65" s="177" t="s">
        <v>296</v>
      </c>
      <c r="NR65" s="12" t="s">
        <v>34</v>
      </c>
      <c r="NS65" s="13" t="s">
        <v>34</v>
      </c>
    </row>
    <row r="66" spans="1:383" x14ac:dyDescent="0.25">
      <c r="A66" s="8" t="s">
        <v>172</v>
      </c>
      <c r="B66" s="9" t="s">
        <v>173</v>
      </c>
      <c r="C66" s="9">
        <v>75</v>
      </c>
      <c r="D66" s="9" t="s">
        <v>70</v>
      </c>
      <c r="E66" s="10">
        <v>96</v>
      </c>
      <c r="F66" s="10">
        <v>100</v>
      </c>
      <c r="G66" s="10">
        <v>78</v>
      </c>
      <c r="H66" s="10">
        <v>98</v>
      </c>
      <c r="I66" s="10">
        <v>57</v>
      </c>
      <c r="J66" s="11">
        <v>410</v>
      </c>
      <c r="K66" s="11">
        <v>556</v>
      </c>
      <c r="L66" s="11">
        <v>487</v>
      </c>
      <c r="M66" s="11">
        <v>583</v>
      </c>
      <c r="N66" s="11">
        <v>278</v>
      </c>
      <c r="O66" s="13">
        <v>3100</v>
      </c>
      <c r="P66" s="13">
        <v>5371</v>
      </c>
      <c r="Q66" s="13">
        <v>4608</v>
      </c>
      <c r="R66" s="13">
        <v>5447</v>
      </c>
      <c r="S66" s="13">
        <v>2940</v>
      </c>
      <c r="T66" s="12">
        <v>661</v>
      </c>
      <c r="U66" s="12">
        <v>1395</v>
      </c>
      <c r="V66" s="12">
        <v>1476</v>
      </c>
      <c r="W66" s="12">
        <v>2038</v>
      </c>
      <c r="X66" s="12">
        <v>713</v>
      </c>
      <c r="Y66" s="12">
        <v>5</v>
      </c>
      <c r="Z66" s="12">
        <v>5</v>
      </c>
      <c r="AA66" s="12">
        <v>5</v>
      </c>
      <c r="AB66" s="13">
        <v>5</v>
      </c>
      <c r="AC66" s="13">
        <v>5</v>
      </c>
      <c r="AD66" s="13">
        <v>5</v>
      </c>
      <c r="AE66" s="35" t="s">
        <v>258</v>
      </c>
      <c r="AF66" s="35" t="s">
        <v>258</v>
      </c>
      <c r="AG66" s="35" t="s">
        <v>258</v>
      </c>
      <c r="AH66" s="38">
        <v>1</v>
      </c>
      <c r="AI66" s="38">
        <v>1</v>
      </c>
      <c r="AJ66" s="38">
        <v>0.9</v>
      </c>
      <c r="AK66" s="45" t="s">
        <v>34</v>
      </c>
      <c r="AL66" s="45" t="s">
        <v>34</v>
      </c>
      <c r="AM66" s="45" t="s">
        <v>34</v>
      </c>
      <c r="AN66" s="45" t="s">
        <v>34</v>
      </c>
      <c r="AO66" s="45" t="s">
        <v>34</v>
      </c>
      <c r="AP66" s="45" t="s">
        <v>34</v>
      </c>
      <c r="AQ66" s="53" t="s">
        <v>296</v>
      </c>
      <c r="AR66" s="56">
        <v>95</v>
      </c>
      <c r="AS66" s="57">
        <v>1</v>
      </c>
      <c r="AT66" s="56">
        <v>98</v>
      </c>
      <c r="AU66" s="57">
        <v>17329</v>
      </c>
      <c r="AV66" s="57">
        <v>147</v>
      </c>
      <c r="AW66" s="57">
        <v>7510</v>
      </c>
      <c r="AX66" s="57">
        <v>1</v>
      </c>
      <c r="AY66" s="57">
        <v>0</v>
      </c>
      <c r="AZ66" s="57">
        <v>7</v>
      </c>
      <c r="BA66" s="57">
        <v>0</v>
      </c>
      <c r="BB66" s="57">
        <v>0</v>
      </c>
      <c r="BC66" s="57">
        <v>0</v>
      </c>
      <c r="BD66" s="57">
        <v>0</v>
      </c>
      <c r="BE66" s="57">
        <v>0</v>
      </c>
      <c r="BF66" s="57">
        <v>0</v>
      </c>
      <c r="BG66" s="57">
        <v>719</v>
      </c>
      <c r="BH66" s="57">
        <v>2702</v>
      </c>
      <c r="BI66" s="57">
        <v>1693</v>
      </c>
      <c r="BJ66" s="57" t="s">
        <v>297</v>
      </c>
      <c r="BK66" s="57">
        <v>31</v>
      </c>
      <c r="BL66" s="57">
        <v>4</v>
      </c>
      <c r="BM66" s="57">
        <v>0</v>
      </c>
      <c r="BN66" s="57">
        <v>280</v>
      </c>
      <c r="BO66" s="57">
        <v>2268</v>
      </c>
      <c r="BP66" s="57">
        <v>820</v>
      </c>
      <c r="BQ66" s="76">
        <v>515</v>
      </c>
      <c r="BR66" s="76">
        <v>511</v>
      </c>
      <c r="BS66">
        <v>504</v>
      </c>
      <c r="BT66">
        <v>504</v>
      </c>
      <c r="BU66">
        <v>502</v>
      </c>
      <c r="BV66">
        <v>44656</v>
      </c>
      <c r="BW66">
        <v>44536</v>
      </c>
      <c r="BX66">
        <v>44661</v>
      </c>
      <c r="BY66">
        <v>44277</v>
      </c>
      <c r="BZ66">
        <v>43395</v>
      </c>
      <c r="CA66">
        <v>160</v>
      </c>
      <c r="CB66">
        <v>175</v>
      </c>
      <c r="CC66">
        <v>132</v>
      </c>
      <c r="CD66">
        <v>175</v>
      </c>
      <c r="CE66">
        <v>104</v>
      </c>
      <c r="CF66">
        <v>3761</v>
      </c>
      <c r="CG66">
        <v>6766</v>
      </c>
      <c r="CH66">
        <v>6084</v>
      </c>
      <c r="CI66">
        <v>7485</v>
      </c>
      <c r="CJ66">
        <v>3653</v>
      </c>
      <c r="CK66" s="10">
        <v>30</v>
      </c>
      <c r="CL66" s="10">
        <v>30</v>
      </c>
      <c r="CM66" s="10">
        <v>30</v>
      </c>
      <c r="CN66" s="11">
        <v>16</v>
      </c>
      <c r="CO66" s="11">
        <v>16</v>
      </c>
      <c r="CP66" s="11">
        <v>16</v>
      </c>
      <c r="CQ66" s="13">
        <v>0</v>
      </c>
      <c r="CR66" s="13">
        <v>3</v>
      </c>
      <c r="CS66" s="13">
        <v>0</v>
      </c>
      <c r="CT66" s="10">
        <v>0</v>
      </c>
      <c r="CU66" s="10">
        <v>0</v>
      </c>
      <c r="CV66" s="10">
        <v>1</v>
      </c>
      <c r="CW66" s="10">
        <v>0</v>
      </c>
      <c r="CX66" s="10">
        <v>0</v>
      </c>
      <c r="CY66" s="10">
        <v>0</v>
      </c>
      <c r="CZ66" s="10">
        <v>0</v>
      </c>
      <c r="DA66" s="10">
        <v>0</v>
      </c>
      <c r="DB66" s="10">
        <v>0</v>
      </c>
      <c r="DC66" s="10">
        <v>0</v>
      </c>
      <c r="DD66" s="10">
        <v>0</v>
      </c>
      <c r="DE66" s="10">
        <v>0</v>
      </c>
      <c r="DF66" s="10">
        <v>0</v>
      </c>
      <c r="DG66" s="10">
        <v>0</v>
      </c>
      <c r="DH66" s="10">
        <v>0</v>
      </c>
      <c r="DI66" s="81">
        <v>0</v>
      </c>
      <c r="DJ66" s="81">
        <v>0</v>
      </c>
      <c r="DK66" s="81">
        <v>0</v>
      </c>
      <c r="DL66" s="81">
        <v>0</v>
      </c>
      <c r="DM66" s="81">
        <v>0</v>
      </c>
      <c r="DN66" s="12">
        <v>0</v>
      </c>
      <c r="DO66" s="12">
        <v>0</v>
      </c>
      <c r="DP66" s="12">
        <v>0</v>
      </c>
      <c r="DQ66" s="12">
        <v>0</v>
      </c>
      <c r="DR66" s="12">
        <v>0</v>
      </c>
      <c r="DS66" s="12">
        <v>0</v>
      </c>
      <c r="DT66" s="12">
        <v>0</v>
      </c>
      <c r="DU66" s="12">
        <v>0</v>
      </c>
      <c r="DV66" s="12">
        <v>0</v>
      </c>
      <c r="DW66" s="12">
        <v>0</v>
      </c>
      <c r="DX66" s="12">
        <v>0</v>
      </c>
      <c r="DY66" s="12">
        <v>0</v>
      </c>
      <c r="DZ66" s="12">
        <v>0</v>
      </c>
      <c r="EA66" s="12">
        <v>0</v>
      </c>
      <c r="EB66" s="12">
        <v>2</v>
      </c>
      <c r="EC66" s="12">
        <v>0</v>
      </c>
      <c r="ED66" s="12">
        <v>0</v>
      </c>
      <c r="EE66" s="12">
        <v>0</v>
      </c>
      <c r="EF66" s="12">
        <v>0</v>
      </c>
      <c r="EG66" s="12">
        <v>0</v>
      </c>
      <c r="EH66" s="12">
        <v>0</v>
      </c>
      <c r="EI66" s="12">
        <v>1</v>
      </c>
      <c r="EJ66" s="12">
        <v>0</v>
      </c>
      <c r="EK66" s="12">
        <v>0</v>
      </c>
      <c r="EL66" s="12">
        <v>1</v>
      </c>
      <c r="EM66" s="12">
        <v>0</v>
      </c>
      <c r="EN66" s="12">
        <v>1</v>
      </c>
      <c r="EO66" s="12">
        <v>0</v>
      </c>
      <c r="EP66" s="12">
        <v>0</v>
      </c>
      <c r="EQ66" s="12">
        <v>0</v>
      </c>
      <c r="ER66" s="12">
        <v>0</v>
      </c>
      <c r="ES66" s="13">
        <v>0</v>
      </c>
      <c r="ET66" s="13">
        <v>0</v>
      </c>
      <c r="EU66" s="13">
        <v>0</v>
      </c>
      <c r="EV66" s="10">
        <v>0</v>
      </c>
      <c r="EW66" s="10">
        <v>0</v>
      </c>
      <c r="EX66" s="10">
        <v>0</v>
      </c>
      <c r="EY66" s="10">
        <v>0</v>
      </c>
      <c r="EZ66" s="10">
        <v>0</v>
      </c>
      <c r="FA66" s="10">
        <v>0</v>
      </c>
      <c r="FB66" s="10">
        <v>0</v>
      </c>
      <c r="FC66" s="10">
        <v>0</v>
      </c>
      <c r="FD66" s="10">
        <v>0</v>
      </c>
      <c r="FE66" s="10">
        <v>0</v>
      </c>
      <c r="FF66" s="10">
        <v>0</v>
      </c>
      <c r="FG66" s="10">
        <v>0</v>
      </c>
      <c r="FH66" s="10">
        <v>0</v>
      </c>
      <c r="FI66" s="10">
        <v>0</v>
      </c>
      <c r="FJ66" s="10">
        <v>0</v>
      </c>
      <c r="FK66" s="81">
        <v>0</v>
      </c>
      <c r="FL66" s="81">
        <v>0</v>
      </c>
      <c r="FM66" s="81">
        <v>0</v>
      </c>
      <c r="FN66" s="81">
        <v>0</v>
      </c>
      <c r="FO66" s="81">
        <v>0</v>
      </c>
      <c r="FP66" s="12">
        <v>0</v>
      </c>
      <c r="FQ66" s="12">
        <v>0</v>
      </c>
      <c r="FR66" s="12">
        <v>0</v>
      </c>
      <c r="FS66" s="12">
        <v>0</v>
      </c>
      <c r="FT66" s="12">
        <v>0</v>
      </c>
      <c r="FU66" s="12">
        <v>0</v>
      </c>
      <c r="FV66" s="12">
        <v>0</v>
      </c>
      <c r="FW66" s="12">
        <v>0</v>
      </c>
      <c r="FX66" s="12">
        <v>0</v>
      </c>
      <c r="FY66" s="12">
        <v>0</v>
      </c>
      <c r="FZ66" s="12">
        <v>0</v>
      </c>
      <c r="GA66" s="12">
        <v>0</v>
      </c>
      <c r="GB66" s="12">
        <v>0</v>
      </c>
      <c r="GC66" s="12">
        <v>0</v>
      </c>
      <c r="GD66" s="12">
        <v>0</v>
      </c>
      <c r="GE66" s="12">
        <v>0</v>
      </c>
      <c r="GF66" s="12">
        <v>0</v>
      </c>
      <c r="GG66" s="12">
        <v>0</v>
      </c>
      <c r="GH66" s="12">
        <v>0</v>
      </c>
      <c r="GI66" s="12">
        <v>0</v>
      </c>
      <c r="GJ66" s="12">
        <v>0</v>
      </c>
      <c r="GK66" s="12">
        <v>0</v>
      </c>
      <c r="GL66" s="12">
        <v>0</v>
      </c>
      <c r="GM66" s="12">
        <v>0</v>
      </c>
      <c r="GN66" s="12">
        <v>0</v>
      </c>
      <c r="GO66" s="12">
        <v>0</v>
      </c>
      <c r="GP66" s="12">
        <v>0</v>
      </c>
      <c r="GQ66" s="12">
        <v>0</v>
      </c>
      <c r="GR66" s="12">
        <v>0</v>
      </c>
      <c r="GS66" s="12">
        <v>0</v>
      </c>
      <c r="GT66" s="12">
        <v>0</v>
      </c>
      <c r="GU66" s="13">
        <v>1</v>
      </c>
      <c r="GV66" s="13">
        <v>42</v>
      </c>
      <c r="GW66" s="13">
        <v>5</v>
      </c>
      <c r="GX66" s="13">
        <v>0</v>
      </c>
      <c r="GY66" s="10">
        <v>0</v>
      </c>
      <c r="GZ66" s="10">
        <v>0</v>
      </c>
      <c r="HA66" s="10">
        <v>16</v>
      </c>
      <c r="HB66" s="10">
        <v>0</v>
      </c>
      <c r="HC66" s="10">
        <v>15</v>
      </c>
      <c r="HD66" s="10">
        <v>0</v>
      </c>
      <c r="HE66" s="10">
        <v>6</v>
      </c>
      <c r="HF66" s="10">
        <v>0</v>
      </c>
      <c r="HG66" s="10">
        <v>0</v>
      </c>
      <c r="HH66" s="10">
        <v>0</v>
      </c>
      <c r="HI66" s="10">
        <v>0</v>
      </c>
      <c r="HJ66" s="10">
        <v>0</v>
      </c>
      <c r="HK66" s="10">
        <v>0</v>
      </c>
      <c r="HL66" s="10">
        <v>0</v>
      </c>
      <c r="HM66" s="10">
        <v>0</v>
      </c>
      <c r="HN66" s="81">
        <v>0</v>
      </c>
      <c r="HO66" s="81">
        <v>0</v>
      </c>
      <c r="HP66" s="81">
        <v>0</v>
      </c>
      <c r="HQ66" s="81">
        <v>0</v>
      </c>
      <c r="HR66" s="81">
        <v>0</v>
      </c>
      <c r="HS66" s="12">
        <v>0</v>
      </c>
      <c r="HT66" s="12">
        <v>0</v>
      </c>
      <c r="HU66" s="12">
        <v>0</v>
      </c>
      <c r="HV66" s="12">
        <v>4</v>
      </c>
      <c r="HW66" s="12">
        <v>0</v>
      </c>
      <c r="HX66" s="12">
        <v>0</v>
      </c>
      <c r="HY66" s="12">
        <v>0</v>
      </c>
      <c r="HZ66" s="12">
        <v>0</v>
      </c>
      <c r="IA66" s="12">
        <v>0</v>
      </c>
      <c r="IB66" s="12">
        <v>0</v>
      </c>
      <c r="IC66" s="12">
        <v>4</v>
      </c>
      <c r="ID66" s="12">
        <v>0</v>
      </c>
      <c r="IE66" s="12">
        <v>0</v>
      </c>
      <c r="IF66" s="12">
        <v>0</v>
      </c>
      <c r="IG66" s="12">
        <v>0</v>
      </c>
      <c r="IH66" s="12">
        <v>0</v>
      </c>
      <c r="II66" s="12">
        <v>0</v>
      </c>
      <c r="IJ66" s="12">
        <v>0</v>
      </c>
      <c r="IK66" s="12">
        <v>0</v>
      </c>
      <c r="IL66" s="12">
        <v>0</v>
      </c>
      <c r="IM66" s="12">
        <v>0</v>
      </c>
      <c r="IN66" s="12">
        <v>0</v>
      </c>
      <c r="IO66" s="12">
        <v>0</v>
      </c>
      <c r="IP66" s="12">
        <v>0</v>
      </c>
      <c r="IQ66" s="12">
        <v>2</v>
      </c>
      <c r="IR66" s="12">
        <v>0</v>
      </c>
      <c r="IS66" s="12">
        <v>0</v>
      </c>
      <c r="IT66" s="12">
        <v>0</v>
      </c>
      <c r="IU66" s="12">
        <v>0</v>
      </c>
      <c r="IV66" s="12">
        <v>0</v>
      </c>
      <c r="IW66" s="12">
        <v>0</v>
      </c>
      <c r="IX66" s="11">
        <v>10000</v>
      </c>
      <c r="IY66" s="11">
        <v>10000</v>
      </c>
      <c r="IZ66" s="11">
        <v>10000</v>
      </c>
      <c r="JA66" s="85">
        <v>1</v>
      </c>
      <c r="JB66" s="85">
        <v>1</v>
      </c>
      <c r="JC66" s="85">
        <v>0</v>
      </c>
      <c r="JD66" s="12">
        <v>11</v>
      </c>
      <c r="JE66" s="12">
        <v>6</v>
      </c>
      <c r="JF66" s="12">
        <v>10</v>
      </c>
      <c r="JG66" s="12">
        <v>3</v>
      </c>
      <c r="JH66" s="12">
        <v>11</v>
      </c>
      <c r="JI66" s="12">
        <v>4</v>
      </c>
      <c r="JJ66" s="13" t="s">
        <v>619</v>
      </c>
      <c r="JK66" s="13" t="s">
        <v>619</v>
      </c>
      <c r="JL66" s="13" t="s">
        <v>296</v>
      </c>
      <c r="JM66" s="89"/>
      <c r="JN66" s="89"/>
      <c r="JO66" s="89" t="s">
        <v>296</v>
      </c>
      <c r="JP66" s="89"/>
      <c r="JQ66" s="89"/>
      <c r="JR66" s="89" t="s">
        <v>296</v>
      </c>
      <c r="JS66" s="89" t="s">
        <v>619</v>
      </c>
      <c r="JT66" s="89" t="s">
        <v>619</v>
      </c>
      <c r="JU66" s="89" t="s">
        <v>296</v>
      </c>
      <c r="JV66" s="89"/>
      <c r="JW66" s="89"/>
      <c r="JX66" s="89" t="s">
        <v>297</v>
      </c>
      <c r="JY66" s="12" t="s">
        <v>619</v>
      </c>
      <c r="JZ66" s="12" t="s">
        <v>619</v>
      </c>
      <c r="KA66" s="12" t="s">
        <v>34</v>
      </c>
      <c r="KB66" s="12" t="s">
        <v>34</v>
      </c>
      <c r="KC66" s="12" t="s">
        <v>619</v>
      </c>
      <c r="KD66" s="12" t="s">
        <v>619</v>
      </c>
      <c r="KE66" s="12" t="s">
        <v>619</v>
      </c>
      <c r="KF66" s="12"/>
      <c r="KG66" s="12" t="s">
        <v>619</v>
      </c>
      <c r="KH66" s="12" t="s">
        <v>34</v>
      </c>
      <c r="KI66" s="12" t="s">
        <v>619</v>
      </c>
      <c r="KJ66" s="12" t="s">
        <v>619</v>
      </c>
      <c r="KK66" s="12" t="s">
        <v>34</v>
      </c>
      <c r="KL66" s="12" t="s">
        <v>34</v>
      </c>
      <c r="KM66" s="12" t="s">
        <v>619</v>
      </c>
      <c r="KN66" s="12" t="s">
        <v>619</v>
      </c>
      <c r="KO66" s="12" t="s">
        <v>619</v>
      </c>
      <c r="KP66" s="12" t="s">
        <v>34</v>
      </c>
      <c r="KQ66" s="12" t="s">
        <v>619</v>
      </c>
      <c r="KR66" s="12" t="s">
        <v>619</v>
      </c>
      <c r="KS66" s="12" t="s">
        <v>34</v>
      </c>
      <c r="KT66" s="12" t="s">
        <v>34</v>
      </c>
      <c r="KU66" s="12" t="s">
        <v>34</v>
      </c>
      <c r="KV66" s="12" t="s">
        <v>34</v>
      </c>
      <c r="KW66" s="12" t="s">
        <v>34</v>
      </c>
      <c r="KX66" s="12" t="s">
        <v>619</v>
      </c>
      <c r="KY66" s="12" t="s">
        <v>34</v>
      </c>
      <c r="KZ66" s="12" t="s">
        <v>34</v>
      </c>
      <c r="LA66" s="12" t="s">
        <v>34</v>
      </c>
      <c r="LB66" s="12" t="s">
        <v>619</v>
      </c>
      <c r="LC66" s="12" t="s">
        <v>619</v>
      </c>
      <c r="LD66" s="12" t="s">
        <v>619</v>
      </c>
      <c r="LE66" s="12" t="s">
        <v>34</v>
      </c>
      <c r="LF66" s="12" t="s">
        <v>34</v>
      </c>
      <c r="LG66" s="12" t="s">
        <v>34</v>
      </c>
      <c r="LH66" s="12" t="s">
        <v>34</v>
      </c>
      <c r="LI66" s="12" t="s">
        <v>619</v>
      </c>
      <c r="LJ66" s="12" t="s">
        <v>619</v>
      </c>
      <c r="LK66" s="12" t="s">
        <v>619</v>
      </c>
      <c r="LL66" s="13" t="s">
        <v>34</v>
      </c>
      <c r="LM66" s="13" t="s">
        <v>34</v>
      </c>
      <c r="LN66" s="13" t="s">
        <v>34</v>
      </c>
      <c r="LO66" s="13" t="s">
        <v>34</v>
      </c>
      <c r="LP66" s="90" t="s">
        <v>619</v>
      </c>
      <c r="LQ66" s="13" t="s">
        <v>619</v>
      </c>
      <c r="LR66" s="13" t="s">
        <v>619</v>
      </c>
      <c r="LS66" s="13"/>
      <c r="LT66" s="13" t="s">
        <v>34</v>
      </c>
      <c r="LU66" s="13" t="s">
        <v>34</v>
      </c>
      <c r="LV66" s="13" t="s">
        <v>34</v>
      </c>
      <c r="LW66" s="13" t="s">
        <v>34</v>
      </c>
      <c r="LX66" s="13" t="s">
        <v>34</v>
      </c>
      <c r="LY66" s="13" t="s">
        <v>34</v>
      </c>
      <c r="LZ66" s="13" t="s">
        <v>34</v>
      </c>
      <c r="MA66" s="13" t="s">
        <v>619</v>
      </c>
      <c r="MB66" s="13" t="s">
        <v>34</v>
      </c>
      <c r="MC66" s="13" t="s">
        <v>34</v>
      </c>
      <c r="MD66" s="13" t="s">
        <v>619</v>
      </c>
      <c r="ME66" s="13" t="s">
        <v>34</v>
      </c>
      <c r="MF66" s="13" t="s">
        <v>34</v>
      </c>
      <c r="MG66" s="13" t="s">
        <v>34</v>
      </c>
      <c r="MH66" s="13" t="s">
        <v>34</v>
      </c>
      <c r="MI66" s="13" t="s">
        <v>34</v>
      </c>
      <c r="MJ66" s="13" t="s">
        <v>34</v>
      </c>
      <c r="MK66" s="13" t="s">
        <v>619</v>
      </c>
      <c r="ML66" s="13" t="s">
        <v>34</v>
      </c>
      <c r="MM66" s="13" t="s">
        <v>34</v>
      </c>
      <c r="MN66" s="13" t="s">
        <v>34</v>
      </c>
      <c r="MO66" s="13" t="s">
        <v>619</v>
      </c>
      <c r="MP66" s="13" t="s">
        <v>34</v>
      </c>
      <c r="MQ66" s="13" t="s">
        <v>619</v>
      </c>
      <c r="MR66" s="13" t="s">
        <v>34</v>
      </c>
      <c r="MS66" s="13" t="s">
        <v>34</v>
      </c>
      <c r="MT66" s="13" t="s">
        <v>34</v>
      </c>
      <c r="MU66" s="13" t="s">
        <v>34</v>
      </c>
      <c r="MV66" s="13" t="s">
        <v>34</v>
      </c>
      <c r="MW66" s="13" t="s">
        <v>34</v>
      </c>
      <c r="MX66" s="13" t="s">
        <v>34</v>
      </c>
      <c r="MY66" s="28" t="s">
        <v>296</v>
      </c>
      <c r="MZ66" s="28" t="s">
        <v>296</v>
      </c>
      <c r="NA66" s="28" t="s">
        <v>296</v>
      </c>
      <c r="NB66" s="28" t="s">
        <v>296</v>
      </c>
      <c r="NC66" s="28" t="s">
        <v>296</v>
      </c>
      <c r="ND66" s="28" t="s">
        <v>296</v>
      </c>
      <c r="NE66" s="28" t="s">
        <v>296</v>
      </c>
      <c r="NF66" s="28" t="s">
        <v>296</v>
      </c>
      <c r="NG66" s="28" t="s">
        <v>297</v>
      </c>
      <c r="NH66" s="28" t="s">
        <v>297</v>
      </c>
      <c r="NI66" s="177" t="s">
        <v>296</v>
      </c>
      <c r="NJ66" s="177" t="s">
        <v>296</v>
      </c>
      <c r="NK66" s="177" t="s">
        <v>296</v>
      </c>
      <c r="NL66" s="177" t="s">
        <v>296</v>
      </c>
      <c r="NM66" s="177" t="s">
        <v>296</v>
      </c>
      <c r="NN66" s="177" t="s">
        <v>296</v>
      </c>
      <c r="NO66" s="177" t="s">
        <v>296</v>
      </c>
      <c r="NP66" s="177" t="s">
        <v>297</v>
      </c>
      <c r="NQ66" s="177" t="s">
        <v>297</v>
      </c>
      <c r="NR66" s="12" t="s">
        <v>34</v>
      </c>
      <c r="NS66" s="13" t="s">
        <v>34</v>
      </c>
    </row>
    <row r="67" spans="1:383" x14ac:dyDescent="0.25">
      <c r="A67" s="8" t="s">
        <v>174</v>
      </c>
      <c r="B67" s="9" t="s">
        <v>175</v>
      </c>
      <c r="C67" s="9">
        <v>76</v>
      </c>
      <c r="D67" s="9" t="s">
        <v>54</v>
      </c>
      <c r="E67" s="10">
        <v>18</v>
      </c>
      <c r="F67" s="10">
        <v>17</v>
      </c>
      <c r="G67" s="10">
        <v>18</v>
      </c>
      <c r="H67" s="10">
        <v>18</v>
      </c>
      <c r="I67" s="10">
        <v>19</v>
      </c>
      <c r="J67" s="11">
        <v>43</v>
      </c>
      <c r="K67" s="11">
        <v>45</v>
      </c>
      <c r="L67" s="11">
        <v>62</v>
      </c>
      <c r="M67" s="11">
        <v>66</v>
      </c>
      <c r="N67" s="11">
        <v>71</v>
      </c>
      <c r="O67" s="13">
        <v>600</v>
      </c>
      <c r="P67" s="13">
        <v>595</v>
      </c>
      <c r="Q67" s="13">
        <v>926</v>
      </c>
      <c r="R67" s="13">
        <v>881</v>
      </c>
      <c r="S67" s="13">
        <v>862</v>
      </c>
      <c r="T67" s="12">
        <v>194</v>
      </c>
      <c r="U67" s="12">
        <v>140</v>
      </c>
      <c r="V67" s="12">
        <v>110</v>
      </c>
      <c r="W67" s="12">
        <v>184</v>
      </c>
      <c r="X67" s="12">
        <v>247</v>
      </c>
      <c r="Y67" s="12">
        <v>6.34</v>
      </c>
      <c r="Z67" s="12">
        <v>6.48</v>
      </c>
      <c r="AA67" s="12">
        <v>6.48</v>
      </c>
      <c r="AB67" s="13">
        <v>5.96</v>
      </c>
      <c r="AC67" s="13">
        <v>5.98</v>
      </c>
      <c r="AD67" s="13">
        <v>5.98</v>
      </c>
      <c r="AE67" s="35" t="s">
        <v>259</v>
      </c>
      <c r="AF67" s="35" t="s">
        <v>259</v>
      </c>
      <c r="AG67" s="35" t="s">
        <v>259</v>
      </c>
      <c r="AH67" s="38">
        <v>0.5</v>
      </c>
      <c r="AI67" s="38">
        <v>0.75</v>
      </c>
      <c r="AJ67" s="38">
        <v>0.7</v>
      </c>
      <c r="AK67" s="45" t="s">
        <v>288</v>
      </c>
      <c r="AL67" s="45" t="s">
        <v>34</v>
      </c>
      <c r="AM67" s="45" t="s">
        <v>34</v>
      </c>
      <c r="AN67" s="45" t="s">
        <v>34</v>
      </c>
      <c r="AO67" s="45" t="s">
        <v>34</v>
      </c>
      <c r="AP67" s="45" t="s">
        <v>34</v>
      </c>
      <c r="AQ67" s="53" t="s">
        <v>297</v>
      </c>
      <c r="AR67" s="56">
        <v>19</v>
      </c>
      <c r="AS67" s="57">
        <v>15</v>
      </c>
      <c r="AT67" s="56">
        <v>61</v>
      </c>
      <c r="AU67" s="57">
        <v>2190</v>
      </c>
      <c r="AV67" s="57">
        <v>1324</v>
      </c>
      <c r="AW67" s="57">
        <v>2537</v>
      </c>
      <c r="AX67" s="57">
        <v>5</v>
      </c>
      <c r="AY67" s="57">
        <v>2</v>
      </c>
      <c r="AZ67" s="57">
        <v>1</v>
      </c>
      <c r="BA67" s="57">
        <v>246</v>
      </c>
      <c r="BB67" s="57">
        <v>1200</v>
      </c>
      <c r="BC67" s="57">
        <v>540</v>
      </c>
      <c r="BD67" s="57">
        <v>246</v>
      </c>
      <c r="BE67" s="57">
        <v>652</v>
      </c>
      <c r="BF67" s="57">
        <v>781</v>
      </c>
      <c r="BG67" s="57">
        <v>501</v>
      </c>
      <c r="BH67" s="57">
        <v>1242</v>
      </c>
      <c r="BI67" s="57">
        <v>827</v>
      </c>
      <c r="BJ67" s="57" t="s">
        <v>297</v>
      </c>
      <c r="BK67" s="57">
        <v>10</v>
      </c>
      <c r="BL67" s="57">
        <v>0</v>
      </c>
      <c r="BM67" s="57">
        <v>0</v>
      </c>
      <c r="BN67" s="57">
        <v>237</v>
      </c>
      <c r="BO67" s="57">
        <v>214</v>
      </c>
      <c r="BP67" s="57">
        <v>235</v>
      </c>
      <c r="BQ67" s="76">
        <v>270</v>
      </c>
      <c r="BR67" s="76">
        <v>259</v>
      </c>
      <c r="BS67">
        <v>230</v>
      </c>
      <c r="BT67">
        <v>230</v>
      </c>
      <c r="BU67">
        <v>227</v>
      </c>
      <c r="BV67">
        <v>12075</v>
      </c>
      <c r="BW67">
        <v>16387</v>
      </c>
      <c r="BX67">
        <v>16024</v>
      </c>
      <c r="BY67">
        <v>15776</v>
      </c>
      <c r="BZ67">
        <v>15401</v>
      </c>
      <c r="CA67">
        <v>18</v>
      </c>
      <c r="CB67">
        <v>19</v>
      </c>
      <c r="CC67">
        <v>18</v>
      </c>
      <c r="CD67">
        <v>22</v>
      </c>
      <c r="CE67">
        <v>22</v>
      </c>
      <c r="CF67">
        <v>794</v>
      </c>
      <c r="CG67">
        <v>735</v>
      </c>
      <c r="CH67">
        <v>1036</v>
      </c>
      <c r="CI67">
        <v>1065</v>
      </c>
      <c r="CJ67">
        <v>1109</v>
      </c>
      <c r="CK67" s="10">
        <v>68.099999999999994</v>
      </c>
      <c r="CL67" s="10">
        <v>70</v>
      </c>
      <c r="CM67" s="10">
        <v>70</v>
      </c>
      <c r="CN67" s="11">
        <v>20.53</v>
      </c>
      <c r="CO67" s="11">
        <v>21</v>
      </c>
      <c r="CP67" s="11">
        <v>21</v>
      </c>
      <c r="CQ67" s="13">
        <v>1</v>
      </c>
      <c r="CR67" s="13">
        <v>2</v>
      </c>
      <c r="CS67" s="13">
        <v>0</v>
      </c>
      <c r="CT67" s="10">
        <v>0</v>
      </c>
      <c r="CU67" s="10">
        <v>0</v>
      </c>
      <c r="CV67" s="10">
        <v>2</v>
      </c>
      <c r="CW67" s="10">
        <v>1</v>
      </c>
      <c r="CX67" s="10">
        <v>2</v>
      </c>
      <c r="CY67" s="10">
        <v>0</v>
      </c>
      <c r="CZ67" s="10">
        <v>0</v>
      </c>
      <c r="DA67" s="10">
        <v>1</v>
      </c>
      <c r="DB67" s="10">
        <v>0</v>
      </c>
      <c r="DC67" s="10">
        <v>0</v>
      </c>
      <c r="DD67" s="10">
        <v>0</v>
      </c>
      <c r="DE67" s="10">
        <v>0</v>
      </c>
      <c r="DF67" s="10">
        <v>0</v>
      </c>
      <c r="DG67" s="10">
        <v>0</v>
      </c>
      <c r="DH67" s="10">
        <v>0</v>
      </c>
      <c r="DI67" s="81">
        <v>0</v>
      </c>
      <c r="DJ67" s="81">
        <v>0</v>
      </c>
      <c r="DK67" s="81">
        <v>3</v>
      </c>
      <c r="DL67" s="81">
        <v>0</v>
      </c>
      <c r="DM67" s="81">
        <v>0</v>
      </c>
      <c r="DN67" s="12">
        <v>0</v>
      </c>
      <c r="DO67" s="12">
        <v>0</v>
      </c>
      <c r="DP67" s="12">
        <v>0</v>
      </c>
      <c r="DQ67" s="12">
        <v>0</v>
      </c>
      <c r="DR67" s="12">
        <v>0</v>
      </c>
      <c r="DS67" s="12">
        <v>0</v>
      </c>
      <c r="DT67" s="12">
        <v>1</v>
      </c>
      <c r="DU67" s="12">
        <v>0</v>
      </c>
      <c r="DV67" s="12">
        <v>0</v>
      </c>
      <c r="DW67" s="12">
        <v>1</v>
      </c>
      <c r="DX67" s="12">
        <v>2</v>
      </c>
      <c r="DY67" s="12">
        <v>2</v>
      </c>
      <c r="DZ67" s="12">
        <v>0</v>
      </c>
      <c r="EA67" s="12">
        <v>0</v>
      </c>
      <c r="EB67" s="12">
        <v>1</v>
      </c>
      <c r="EC67" s="12">
        <v>0</v>
      </c>
      <c r="ED67" s="12">
        <v>3</v>
      </c>
      <c r="EE67" s="12">
        <v>0</v>
      </c>
      <c r="EF67" s="12">
        <v>1</v>
      </c>
      <c r="EG67" s="12">
        <v>0</v>
      </c>
      <c r="EH67" s="12">
        <v>0</v>
      </c>
      <c r="EI67" s="12">
        <v>0</v>
      </c>
      <c r="EJ67" s="12">
        <v>1</v>
      </c>
      <c r="EK67" s="12">
        <v>1</v>
      </c>
      <c r="EL67" s="12">
        <v>0</v>
      </c>
      <c r="EM67" s="12">
        <v>0</v>
      </c>
      <c r="EN67" s="12">
        <v>2</v>
      </c>
      <c r="EO67" s="12">
        <v>0</v>
      </c>
      <c r="EP67" s="12">
        <v>1</v>
      </c>
      <c r="EQ67" s="12">
        <v>1</v>
      </c>
      <c r="ER67" s="12">
        <v>0</v>
      </c>
      <c r="ES67" s="13">
        <v>3</v>
      </c>
      <c r="ET67" s="13">
        <v>4</v>
      </c>
      <c r="EU67" s="13">
        <v>0</v>
      </c>
      <c r="EV67" s="10">
        <v>0</v>
      </c>
      <c r="EW67" s="10">
        <v>0</v>
      </c>
      <c r="EX67" s="10">
        <v>0</v>
      </c>
      <c r="EY67" s="10">
        <v>0</v>
      </c>
      <c r="EZ67" s="10">
        <v>2</v>
      </c>
      <c r="FA67" s="10">
        <v>0</v>
      </c>
      <c r="FB67" s="10">
        <v>0</v>
      </c>
      <c r="FC67" s="10">
        <v>0</v>
      </c>
      <c r="FD67" s="10">
        <v>0</v>
      </c>
      <c r="FE67" s="10">
        <v>0</v>
      </c>
      <c r="FF67" s="10">
        <v>0</v>
      </c>
      <c r="FG67" s="10">
        <v>0</v>
      </c>
      <c r="FH67" s="10">
        <v>0</v>
      </c>
      <c r="FI67" s="10">
        <v>0</v>
      </c>
      <c r="FJ67" s="10">
        <v>0</v>
      </c>
      <c r="FK67" s="81">
        <v>1</v>
      </c>
      <c r="FL67" s="81">
        <v>3</v>
      </c>
      <c r="FM67" s="81">
        <v>2</v>
      </c>
      <c r="FN67" s="81">
        <v>0</v>
      </c>
      <c r="FO67" s="81">
        <v>0</v>
      </c>
      <c r="FP67" s="12">
        <v>1</v>
      </c>
      <c r="FQ67" s="12">
        <v>0</v>
      </c>
      <c r="FR67" s="12">
        <v>1</v>
      </c>
      <c r="FS67" s="12">
        <v>0</v>
      </c>
      <c r="FT67" s="12">
        <v>4</v>
      </c>
      <c r="FU67" s="12">
        <v>0</v>
      </c>
      <c r="FV67" s="12">
        <v>0</v>
      </c>
      <c r="FW67" s="12">
        <v>0</v>
      </c>
      <c r="FX67" s="12">
        <v>3</v>
      </c>
      <c r="FY67" s="12">
        <v>0</v>
      </c>
      <c r="FZ67" s="12">
        <v>1</v>
      </c>
      <c r="GA67" s="12">
        <v>0</v>
      </c>
      <c r="GB67" s="12">
        <v>0</v>
      </c>
      <c r="GC67" s="12">
        <v>0</v>
      </c>
      <c r="GD67" s="12">
        <v>4</v>
      </c>
      <c r="GE67" s="12">
        <v>0</v>
      </c>
      <c r="GF67" s="12">
        <v>2</v>
      </c>
      <c r="GG67" s="12">
        <v>3</v>
      </c>
      <c r="GH67" s="12">
        <v>2</v>
      </c>
      <c r="GI67" s="12">
        <v>0</v>
      </c>
      <c r="GJ67" s="12">
        <v>0</v>
      </c>
      <c r="GK67" s="12">
        <v>1</v>
      </c>
      <c r="GL67" s="12">
        <v>0</v>
      </c>
      <c r="GM67" s="12">
        <v>0</v>
      </c>
      <c r="GN67" s="12">
        <v>1</v>
      </c>
      <c r="GO67" s="12">
        <v>1</v>
      </c>
      <c r="GP67" s="12">
        <v>3</v>
      </c>
      <c r="GQ67" s="12">
        <v>1</v>
      </c>
      <c r="GR67" s="12">
        <v>0</v>
      </c>
      <c r="GS67" s="12">
        <v>1</v>
      </c>
      <c r="GT67" s="12">
        <v>0</v>
      </c>
      <c r="GU67" s="13">
        <v>15</v>
      </c>
      <c r="GV67" s="13">
        <v>20</v>
      </c>
      <c r="GW67" s="13">
        <v>5</v>
      </c>
      <c r="GX67" s="13">
        <v>0</v>
      </c>
      <c r="GY67" s="10">
        <v>0</v>
      </c>
      <c r="GZ67" s="10">
        <v>0</v>
      </c>
      <c r="HA67" s="10">
        <v>12</v>
      </c>
      <c r="HB67" s="10">
        <v>1</v>
      </c>
      <c r="HC67" s="10">
        <v>8</v>
      </c>
      <c r="HD67" s="10">
        <v>0</v>
      </c>
      <c r="HE67" s="10">
        <v>0</v>
      </c>
      <c r="HF67" s="10">
        <v>1</v>
      </c>
      <c r="HG67" s="10">
        <v>0</v>
      </c>
      <c r="HH67" s="10">
        <v>0</v>
      </c>
      <c r="HI67" s="10">
        <v>0</v>
      </c>
      <c r="HJ67" s="10">
        <v>0</v>
      </c>
      <c r="HK67" s="10">
        <v>0</v>
      </c>
      <c r="HL67" s="10">
        <v>0</v>
      </c>
      <c r="HM67" s="10">
        <v>0</v>
      </c>
      <c r="HN67" s="81">
        <v>0</v>
      </c>
      <c r="HO67" s="81">
        <v>7</v>
      </c>
      <c r="HP67" s="81">
        <v>0</v>
      </c>
      <c r="HQ67" s="81">
        <v>0</v>
      </c>
      <c r="HR67" s="81">
        <v>0</v>
      </c>
      <c r="HS67" s="12">
        <v>2</v>
      </c>
      <c r="HT67" s="12">
        <v>0</v>
      </c>
      <c r="HU67" s="12">
        <v>0</v>
      </c>
      <c r="HV67" s="12">
        <v>4</v>
      </c>
      <c r="HW67" s="12">
        <v>0</v>
      </c>
      <c r="HX67" s="12">
        <v>0</v>
      </c>
      <c r="HY67" s="12">
        <v>0</v>
      </c>
      <c r="HZ67" s="12">
        <v>0</v>
      </c>
      <c r="IA67" s="12">
        <v>0</v>
      </c>
      <c r="IB67" s="12">
        <v>0</v>
      </c>
      <c r="IC67" s="12">
        <v>4</v>
      </c>
      <c r="ID67" s="12">
        <v>0</v>
      </c>
      <c r="IE67" s="12">
        <v>1</v>
      </c>
      <c r="IF67" s="12">
        <v>0</v>
      </c>
      <c r="IG67" s="12">
        <v>0</v>
      </c>
      <c r="IH67" s="12">
        <v>0</v>
      </c>
      <c r="II67" s="12">
        <v>1</v>
      </c>
      <c r="IJ67" s="12">
        <v>0</v>
      </c>
      <c r="IK67" s="12">
        <v>0</v>
      </c>
      <c r="IL67" s="12">
        <v>0</v>
      </c>
      <c r="IM67" s="12">
        <v>0</v>
      </c>
      <c r="IN67" s="12">
        <v>1</v>
      </c>
      <c r="IO67" s="12">
        <v>4</v>
      </c>
      <c r="IP67" s="12">
        <v>0</v>
      </c>
      <c r="IQ67" s="12">
        <v>0</v>
      </c>
      <c r="IR67" s="12">
        <v>3</v>
      </c>
      <c r="IS67" s="12">
        <v>2</v>
      </c>
      <c r="IT67" s="12">
        <v>2</v>
      </c>
      <c r="IU67" s="12">
        <v>2</v>
      </c>
      <c r="IV67" s="12">
        <v>0</v>
      </c>
      <c r="IW67" s="12">
        <v>0</v>
      </c>
      <c r="IX67" s="11">
        <v>4200</v>
      </c>
      <c r="IY67" s="11">
        <v>3600</v>
      </c>
      <c r="IZ67" s="11">
        <v>4000</v>
      </c>
      <c r="JA67" s="85">
        <v>0</v>
      </c>
      <c r="JB67" s="85">
        <v>0</v>
      </c>
      <c r="JC67" s="85">
        <v>0</v>
      </c>
      <c r="JD67" s="12">
        <v>5</v>
      </c>
      <c r="JE67" s="12">
        <v>0</v>
      </c>
      <c r="JF67" s="12">
        <v>5</v>
      </c>
      <c r="JG67" s="12">
        <v>2</v>
      </c>
      <c r="JH67" s="12">
        <v>5</v>
      </c>
      <c r="JI67" s="12">
        <v>1</v>
      </c>
      <c r="JJ67" s="13" t="s">
        <v>619</v>
      </c>
      <c r="JK67" s="13" t="s">
        <v>619</v>
      </c>
      <c r="JL67" s="13" t="s">
        <v>296</v>
      </c>
      <c r="JM67" s="89"/>
      <c r="JN67" s="89"/>
      <c r="JO67" s="89" t="s">
        <v>296</v>
      </c>
      <c r="JP67" s="89"/>
      <c r="JQ67" s="89"/>
      <c r="JR67" s="89" t="s">
        <v>296</v>
      </c>
      <c r="JS67" s="89" t="s">
        <v>620</v>
      </c>
      <c r="JT67" s="89" t="s">
        <v>619</v>
      </c>
      <c r="JU67" s="89" t="s">
        <v>296</v>
      </c>
      <c r="JV67" s="89"/>
      <c r="JW67" s="89"/>
      <c r="JX67" s="89" t="s">
        <v>297</v>
      </c>
      <c r="JY67" s="12" t="s">
        <v>34</v>
      </c>
      <c r="JZ67" s="12" t="s">
        <v>34</v>
      </c>
      <c r="KA67" s="12" t="s">
        <v>34</v>
      </c>
      <c r="KB67" s="12" t="s">
        <v>34</v>
      </c>
      <c r="KC67" s="12" t="s">
        <v>34</v>
      </c>
      <c r="KD67" s="12" t="s">
        <v>34</v>
      </c>
      <c r="KE67" s="12" t="s">
        <v>34</v>
      </c>
      <c r="KF67" s="12"/>
      <c r="KG67" s="12" t="s">
        <v>34</v>
      </c>
      <c r="KH67" s="12" t="s">
        <v>34</v>
      </c>
      <c r="KI67" s="12" t="s">
        <v>34</v>
      </c>
      <c r="KJ67" s="12" t="s">
        <v>34</v>
      </c>
      <c r="KK67" s="12" t="s">
        <v>34</v>
      </c>
      <c r="KL67" s="12" t="s">
        <v>34</v>
      </c>
      <c r="KM67" s="12" t="s">
        <v>34</v>
      </c>
      <c r="KN67" s="12" t="s">
        <v>619</v>
      </c>
      <c r="KO67" s="12" t="s">
        <v>619</v>
      </c>
      <c r="KP67" s="12" t="s">
        <v>34</v>
      </c>
      <c r="KQ67" s="12" t="s">
        <v>619</v>
      </c>
      <c r="KR67" s="12" t="s">
        <v>619</v>
      </c>
      <c r="KS67" s="12" t="s">
        <v>34</v>
      </c>
      <c r="KT67" s="12" t="s">
        <v>34</v>
      </c>
      <c r="KU67" s="12" t="s">
        <v>34</v>
      </c>
      <c r="KV67" s="12" t="s">
        <v>34</v>
      </c>
      <c r="KW67" s="12" t="s">
        <v>34</v>
      </c>
      <c r="KX67" s="12" t="s">
        <v>34</v>
      </c>
      <c r="KY67" s="12" t="s">
        <v>34</v>
      </c>
      <c r="KZ67" s="12" t="s">
        <v>34</v>
      </c>
      <c r="LA67" s="12" t="s">
        <v>34</v>
      </c>
      <c r="LB67" s="12" t="s">
        <v>619</v>
      </c>
      <c r="LC67" s="12" t="s">
        <v>619</v>
      </c>
      <c r="LD67" s="12" t="s">
        <v>619</v>
      </c>
      <c r="LE67" s="12" t="s">
        <v>34</v>
      </c>
      <c r="LF67" s="12" t="s">
        <v>34</v>
      </c>
      <c r="LG67" s="12" t="s">
        <v>34</v>
      </c>
      <c r="LH67" s="12" t="s">
        <v>34</v>
      </c>
      <c r="LI67" s="12" t="s">
        <v>34</v>
      </c>
      <c r="LJ67" s="12" t="s">
        <v>34</v>
      </c>
      <c r="LK67" s="12" t="s">
        <v>34</v>
      </c>
      <c r="LL67" s="13" t="s">
        <v>34</v>
      </c>
      <c r="LM67" s="13" t="s">
        <v>34</v>
      </c>
      <c r="LN67" s="13" t="s">
        <v>34</v>
      </c>
      <c r="LO67" s="13" t="s">
        <v>34</v>
      </c>
      <c r="LP67" s="90" t="s">
        <v>619</v>
      </c>
      <c r="LQ67" s="13" t="s">
        <v>619</v>
      </c>
      <c r="LR67" s="13" t="s">
        <v>34</v>
      </c>
      <c r="LS67" s="13"/>
      <c r="LT67" s="13" t="s">
        <v>619</v>
      </c>
      <c r="LU67" s="13" t="s">
        <v>34</v>
      </c>
      <c r="LV67" s="13" t="s">
        <v>619</v>
      </c>
      <c r="LW67" s="13" t="s">
        <v>34</v>
      </c>
      <c r="LX67" s="13" t="s">
        <v>34</v>
      </c>
      <c r="LY67" s="13" t="s">
        <v>34</v>
      </c>
      <c r="LZ67" s="13" t="s">
        <v>619</v>
      </c>
      <c r="MA67" s="13" t="s">
        <v>619</v>
      </c>
      <c r="MB67" s="13" t="s">
        <v>619</v>
      </c>
      <c r="MC67" s="13" t="s">
        <v>34</v>
      </c>
      <c r="MD67" s="13" t="s">
        <v>619</v>
      </c>
      <c r="ME67" s="13" t="s">
        <v>619</v>
      </c>
      <c r="MF67" s="13" t="s">
        <v>34</v>
      </c>
      <c r="MG67" s="13" t="s">
        <v>34</v>
      </c>
      <c r="MH67" s="13" t="s">
        <v>34</v>
      </c>
      <c r="MI67" s="13" t="s">
        <v>619</v>
      </c>
      <c r="MJ67" s="13" t="s">
        <v>34</v>
      </c>
      <c r="MK67" s="13" t="s">
        <v>619</v>
      </c>
      <c r="ML67" s="13" t="s">
        <v>34</v>
      </c>
      <c r="MM67" s="13" t="s">
        <v>34</v>
      </c>
      <c r="MN67" s="13" t="s">
        <v>34</v>
      </c>
      <c r="MO67" s="13" t="s">
        <v>619</v>
      </c>
      <c r="MP67" s="13" t="s">
        <v>619</v>
      </c>
      <c r="MQ67" s="13" t="s">
        <v>619</v>
      </c>
      <c r="MR67" s="13" t="s">
        <v>34</v>
      </c>
      <c r="MS67" s="13" t="s">
        <v>34</v>
      </c>
      <c r="MT67" s="13" t="s">
        <v>34</v>
      </c>
      <c r="MU67" s="13" t="s">
        <v>34</v>
      </c>
      <c r="MV67" s="13" t="s">
        <v>34</v>
      </c>
      <c r="MW67" s="13" t="s">
        <v>34</v>
      </c>
      <c r="MX67" s="13" t="s">
        <v>34</v>
      </c>
      <c r="MY67" s="28" t="s">
        <v>296</v>
      </c>
      <c r="MZ67" s="28" t="s">
        <v>296</v>
      </c>
      <c r="NA67" s="28" t="s">
        <v>296</v>
      </c>
      <c r="NB67" s="28" t="s">
        <v>296</v>
      </c>
      <c r="NC67" s="28" t="s">
        <v>296</v>
      </c>
      <c r="ND67" s="28" t="s">
        <v>296</v>
      </c>
      <c r="NE67" s="28" t="s">
        <v>296</v>
      </c>
      <c r="NF67" s="28" t="s">
        <v>296</v>
      </c>
      <c r="NG67" s="28" t="s">
        <v>297</v>
      </c>
      <c r="NH67" s="28" t="s">
        <v>297</v>
      </c>
      <c r="NI67" s="177" t="s">
        <v>296</v>
      </c>
      <c r="NJ67" s="177" t="s">
        <v>297</v>
      </c>
      <c r="NK67" s="177" t="s">
        <v>296</v>
      </c>
      <c r="NL67" s="177" t="s">
        <v>296</v>
      </c>
      <c r="NM67" s="177" t="s">
        <v>296</v>
      </c>
      <c r="NN67" s="177" t="s">
        <v>296</v>
      </c>
      <c r="NO67" s="177" t="s">
        <v>296</v>
      </c>
      <c r="NP67" s="177" t="s">
        <v>297</v>
      </c>
      <c r="NQ67" s="177" t="s">
        <v>296</v>
      </c>
      <c r="NR67" s="12" t="s">
        <v>34</v>
      </c>
      <c r="NS67" s="13" t="s">
        <v>34</v>
      </c>
    </row>
    <row r="68" spans="1:383" x14ac:dyDescent="0.25">
      <c r="A68" s="8" t="s">
        <v>176</v>
      </c>
      <c r="B68" s="9" t="s">
        <v>177</v>
      </c>
      <c r="C68" s="9">
        <v>76</v>
      </c>
      <c r="D68" s="9" t="s">
        <v>54</v>
      </c>
      <c r="E68" s="10">
        <v>138</v>
      </c>
      <c r="F68" s="10">
        <v>138</v>
      </c>
      <c r="G68" s="10">
        <v>141</v>
      </c>
      <c r="H68" s="10">
        <v>138</v>
      </c>
      <c r="I68" s="10">
        <v>57</v>
      </c>
      <c r="J68" s="11">
        <v>649</v>
      </c>
      <c r="K68" s="11">
        <v>648</v>
      </c>
      <c r="L68" s="11">
        <v>662</v>
      </c>
      <c r="M68" s="11">
        <v>676</v>
      </c>
      <c r="N68" s="11">
        <v>160</v>
      </c>
      <c r="O68" s="13">
        <v>9355</v>
      </c>
      <c r="P68" s="13">
        <v>9355</v>
      </c>
      <c r="Q68" s="13">
        <v>8961</v>
      </c>
      <c r="R68" s="13">
        <v>8961</v>
      </c>
      <c r="S68" s="13">
        <v>2997</v>
      </c>
      <c r="T68" s="12">
        <v>3555</v>
      </c>
      <c r="U68" s="12">
        <v>3555</v>
      </c>
      <c r="V68" s="12">
        <v>3278</v>
      </c>
      <c r="W68" s="12">
        <v>3285</v>
      </c>
      <c r="X68" s="12">
        <v>669</v>
      </c>
      <c r="Y68" s="12">
        <v>6.65</v>
      </c>
      <c r="Z68" s="12">
        <v>6.7</v>
      </c>
      <c r="AA68" s="12">
        <v>6.8</v>
      </c>
      <c r="AB68" s="13">
        <v>6.65</v>
      </c>
      <c r="AC68" s="13">
        <v>6.7</v>
      </c>
      <c r="AD68" s="13">
        <v>6.8</v>
      </c>
      <c r="AE68" s="35" t="s">
        <v>258</v>
      </c>
      <c r="AF68" s="35" t="s">
        <v>258</v>
      </c>
      <c r="AG68" s="35" t="s">
        <v>258</v>
      </c>
      <c r="AH68" s="38">
        <v>1</v>
      </c>
      <c r="AI68" s="38">
        <v>1</v>
      </c>
      <c r="AJ68" s="38">
        <v>0.9</v>
      </c>
      <c r="AK68" s="45" t="s">
        <v>34</v>
      </c>
      <c r="AL68" s="45" t="s">
        <v>34</v>
      </c>
      <c r="AM68" s="45" t="s">
        <v>34</v>
      </c>
      <c r="AN68" s="45" t="s">
        <v>34</v>
      </c>
      <c r="AO68" s="45" t="s">
        <v>34</v>
      </c>
      <c r="AP68" s="45" t="s">
        <v>292</v>
      </c>
      <c r="AQ68" s="53" t="s">
        <v>297</v>
      </c>
      <c r="AR68" s="56">
        <v>301</v>
      </c>
      <c r="AS68" s="57">
        <v>115</v>
      </c>
      <c r="AT68" s="56">
        <v>101</v>
      </c>
      <c r="AU68" s="57">
        <v>31618</v>
      </c>
      <c r="AV68" s="57">
        <v>11248</v>
      </c>
      <c r="AW68" s="57">
        <v>7259</v>
      </c>
      <c r="AX68" s="57">
        <v>33</v>
      </c>
      <c r="AY68" s="57">
        <v>37</v>
      </c>
      <c r="AZ68" s="57">
        <v>13</v>
      </c>
      <c r="BA68" s="57">
        <v>1850</v>
      </c>
      <c r="BB68" s="57">
        <v>2220</v>
      </c>
      <c r="BC68" s="57">
        <v>2822</v>
      </c>
      <c r="BD68" s="57">
        <v>455</v>
      </c>
      <c r="BE68" s="57">
        <v>0</v>
      </c>
      <c r="BF68" s="57">
        <v>204</v>
      </c>
      <c r="BG68" s="57">
        <v>596</v>
      </c>
      <c r="BH68" s="57">
        <v>1538</v>
      </c>
      <c r="BI68" s="57">
        <v>3891</v>
      </c>
      <c r="BJ68" s="57" t="s">
        <v>297</v>
      </c>
      <c r="BK68" s="57">
        <v>6</v>
      </c>
      <c r="BL68" s="57">
        <v>1</v>
      </c>
      <c r="BM68" s="57">
        <v>0</v>
      </c>
      <c r="BN68" s="57">
        <v>300</v>
      </c>
      <c r="BO68" s="57">
        <v>0</v>
      </c>
      <c r="BP68" s="57">
        <v>75</v>
      </c>
      <c r="BQ68" s="76">
        <v>295</v>
      </c>
      <c r="BR68" s="76">
        <v>293</v>
      </c>
      <c r="BS68">
        <v>289</v>
      </c>
      <c r="BT68">
        <v>289</v>
      </c>
      <c r="BU68">
        <v>289</v>
      </c>
      <c r="BV68">
        <v>39510</v>
      </c>
      <c r="BW68">
        <v>39519</v>
      </c>
      <c r="BX68">
        <v>39597</v>
      </c>
      <c r="BY68">
        <v>39388</v>
      </c>
      <c r="BZ68">
        <v>38869</v>
      </c>
      <c r="CA68">
        <v>138</v>
      </c>
      <c r="CB68">
        <v>140</v>
      </c>
      <c r="CC68">
        <v>138</v>
      </c>
      <c r="CD68">
        <v>138</v>
      </c>
      <c r="CE68">
        <v>55</v>
      </c>
      <c r="CF68">
        <v>12910</v>
      </c>
      <c r="CG68">
        <v>12910</v>
      </c>
      <c r="CH68">
        <v>12239</v>
      </c>
      <c r="CI68">
        <v>12246</v>
      </c>
      <c r="CJ68">
        <v>3666</v>
      </c>
      <c r="CK68" s="10">
        <v>17.350000000000001</v>
      </c>
      <c r="CL68" s="10">
        <v>17.45</v>
      </c>
      <c r="CM68" s="10">
        <v>17.5</v>
      </c>
      <c r="CN68" s="11">
        <v>16.3</v>
      </c>
      <c r="CO68" s="11">
        <v>16.3</v>
      </c>
      <c r="CP68" s="11">
        <v>16.350000000000001</v>
      </c>
      <c r="CQ68" s="13">
        <v>18</v>
      </c>
      <c r="CR68" s="13">
        <v>7</v>
      </c>
      <c r="CS68" s="13">
        <v>24</v>
      </c>
      <c r="CT68" s="10">
        <v>0</v>
      </c>
      <c r="CU68" s="10">
        <v>0</v>
      </c>
      <c r="CV68" s="10">
        <v>15</v>
      </c>
      <c r="CW68" s="10">
        <v>1</v>
      </c>
      <c r="CX68" s="10">
        <v>0</v>
      </c>
      <c r="CY68" s="10">
        <v>0</v>
      </c>
      <c r="CZ68" s="10">
        <v>48</v>
      </c>
      <c r="DA68" s="10">
        <v>1</v>
      </c>
      <c r="DB68" s="10">
        <v>0</v>
      </c>
      <c r="DC68" s="10">
        <v>0</v>
      </c>
      <c r="DD68" s="10">
        <v>4</v>
      </c>
      <c r="DE68" s="10">
        <v>0</v>
      </c>
      <c r="DF68" s="10">
        <v>0</v>
      </c>
      <c r="DG68" s="10">
        <v>0</v>
      </c>
      <c r="DH68" s="10">
        <v>0</v>
      </c>
      <c r="DI68" s="81">
        <v>0</v>
      </c>
      <c r="DJ68" s="81">
        <v>0</v>
      </c>
      <c r="DK68" s="81">
        <v>1</v>
      </c>
      <c r="DL68" s="81">
        <v>0</v>
      </c>
      <c r="DM68" s="81">
        <v>0</v>
      </c>
      <c r="DN68" s="12">
        <v>0</v>
      </c>
      <c r="DO68" s="12">
        <v>0</v>
      </c>
      <c r="DP68" s="12">
        <v>9</v>
      </c>
      <c r="DQ68" s="12">
        <v>0</v>
      </c>
      <c r="DR68" s="12">
        <v>0</v>
      </c>
      <c r="DS68" s="12">
        <v>0</v>
      </c>
      <c r="DT68" s="12">
        <v>0</v>
      </c>
      <c r="DU68" s="12">
        <v>3</v>
      </c>
      <c r="DV68" s="12">
        <v>16</v>
      </c>
      <c r="DW68" s="12">
        <v>3</v>
      </c>
      <c r="DX68" s="12">
        <v>2</v>
      </c>
      <c r="DY68" s="12">
        <v>5</v>
      </c>
      <c r="DZ68" s="12">
        <v>0</v>
      </c>
      <c r="EA68" s="12">
        <v>0</v>
      </c>
      <c r="EB68" s="12">
        <v>16</v>
      </c>
      <c r="EC68" s="12">
        <v>0</v>
      </c>
      <c r="ED68" s="12">
        <v>1</v>
      </c>
      <c r="EE68" s="12">
        <v>0</v>
      </c>
      <c r="EF68" s="12">
        <v>2</v>
      </c>
      <c r="EG68" s="12">
        <v>0</v>
      </c>
      <c r="EH68" s="12">
        <v>0</v>
      </c>
      <c r="EI68" s="12">
        <v>0</v>
      </c>
      <c r="EJ68" s="12">
        <v>0</v>
      </c>
      <c r="EK68" s="12">
        <v>0</v>
      </c>
      <c r="EL68" s="12">
        <v>9</v>
      </c>
      <c r="EM68" s="12">
        <v>6</v>
      </c>
      <c r="EN68" s="12">
        <v>2</v>
      </c>
      <c r="EO68" s="12">
        <v>0</v>
      </c>
      <c r="EP68" s="12">
        <v>0</v>
      </c>
      <c r="EQ68" s="12">
        <v>5</v>
      </c>
      <c r="ER68" s="12">
        <v>0</v>
      </c>
      <c r="ES68" s="13">
        <v>7</v>
      </c>
      <c r="ET68" s="13">
        <v>0</v>
      </c>
      <c r="EU68" s="13">
        <v>22</v>
      </c>
      <c r="EV68" s="10">
        <v>0</v>
      </c>
      <c r="EW68" s="10">
        <v>0</v>
      </c>
      <c r="EX68" s="10">
        <v>0</v>
      </c>
      <c r="EY68" s="10">
        <v>0</v>
      </c>
      <c r="EZ68" s="10">
        <v>0</v>
      </c>
      <c r="FA68" s="10">
        <v>0</v>
      </c>
      <c r="FB68" s="10">
        <v>34</v>
      </c>
      <c r="FC68" s="10">
        <v>1</v>
      </c>
      <c r="FD68" s="10">
        <v>0</v>
      </c>
      <c r="FE68" s="10">
        <v>0</v>
      </c>
      <c r="FF68" s="10">
        <v>0</v>
      </c>
      <c r="FG68" s="10">
        <v>0</v>
      </c>
      <c r="FH68" s="10">
        <v>0</v>
      </c>
      <c r="FI68" s="10">
        <v>0</v>
      </c>
      <c r="FJ68" s="10">
        <v>0</v>
      </c>
      <c r="FK68" s="81">
        <v>7</v>
      </c>
      <c r="FL68" s="81">
        <v>0</v>
      </c>
      <c r="FM68" s="81">
        <v>0</v>
      </c>
      <c r="FN68" s="81">
        <v>0</v>
      </c>
      <c r="FO68" s="81">
        <v>0</v>
      </c>
      <c r="FP68" s="12">
        <v>0</v>
      </c>
      <c r="FQ68" s="12">
        <v>15</v>
      </c>
      <c r="FR68" s="12">
        <v>0</v>
      </c>
      <c r="FS68" s="12">
        <v>0</v>
      </c>
      <c r="FT68" s="12">
        <v>0</v>
      </c>
      <c r="FU68" s="12">
        <v>0</v>
      </c>
      <c r="FV68" s="12">
        <v>0</v>
      </c>
      <c r="FW68" s="12">
        <v>2</v>
      </c>
      <c r="FX68" s="12">
        <v>7</v>
      </c>
      <c r="FY68" s="12">
        <v>0</v>
      </c>
      <c r="FZ68" s="12">
        <v>0</v>
      </c>
      <c r="GA68" s="12">
        <v>0</v>
      </c>
      <c r="GB68" s="12">
        <v>0</v>
      </c>
      <c r="GC68" s="12">
        <v>0</v>
      </c>
      <c r="GD68" s="12">
        <v>0</v>
      </c>
      <c r="GE68" s="12">
        <v>0</v>
      </c>
      <c r="GF68" s="12">
        <v>0</v>
      </c>
      <c r="GG68" s="12">
        <v>0</v>
      </c>
      <c r="GH68" s="12">
        <v>0</v>
      </c>
      <c r="GI68" s="12">
        <v>0</v>
      </c>
      <c r="GJ68" s="12">
        <v>0</v>
      </c>
      <c r="GK68" s="12">
        <v>0</v>
      </c>
      <c r="GL68" s="12">
        <v>0</v>
      </c>
      <c r="GM68" s="12">
        <v>0</v>
      </c>
      <c r="GN68" s="12">
        <v>0</v>
      </c>
      <c r="GO68" s="12">
        <v>4</v>
      </c>
      <c r="GP68" s="12">
        <v>0</v>
      </c>
      <c r="GQ68" s="12">
        <v>0</v>
      </c>
      <c r="GR68" s="12">
        <v>0</v>
      </c>
      <c r="GS68" s="12">
        <v>0</v>
      </c>
      <c r="GT68" s="12">
        <v>0</v>
      </c>
      <c r="GU68" s="13">
        <v>115</v>
      </c>
      <c r="GV68" s="13">
        <v>14</v>
      </c>
      <c r="GW68" s="13">
        <v>10</v>
      </c>
      <c r="GX68" s="13">
        <v>14</v>
      </c>
      <c r="GY68" s="10">
        <v>0</v>
      </c>
      <c r="GZ68" s="10">
        <v>0</v>
      </c>
      <c r="HA68" s="10">
        <v>11</v>
      </c>
      <c r="HB68" s="10">
        <v>26</v>
      </c>
      <c r="HC68" s="10">
        <v>22</v>
      </c>
      <c r="HD68" s="10">
        <v>0</v>
      </c>
      <c r="HE68" s="10">
        <v>0</v>
      </c>
      <c r="HF68" s="10">
        <v>5</v>
      </c>
      <c r="HG68" s="10">
        <v>0</v>
      </c>
      <c r="HH68" s="10">
        <v>0</v>
      </c>
      <c r="HI68" s="10">
        <v>0</v>
      </c>
      <c r="HJ68" s="10">
        <v>0</v>
      </c>
      <c r="HK68" s="10">
        <v>11</v>
      </c>
      <c r="HL68" s="10">
        <v>0</v>
      </c>
      <c r="HM68" s="10">
        <v>0</v>
      </c>
      <c r="HN68" s="81">
        <v>0</v>
      </c>
      <c r="HO68" s="81">
        <v>0</v>
      </c>
      <c r="HP68" s="81">
        <v>3</v>
      </c>
      <c r="HQ68" s="81">
        <v>0</v>
      </c>
      <c r="HR68" s="81">
        <v>0</v>
      </c>
      <c r="HS68" s="12">
        <v>0</v>
      </c>
      <c r="HT68" s="12">
        <v>0</v>
      </c>
      <c r="HU68" s="12">
        <v>1</v>
      </c>
      <c r="HV68" s="12">
        <v>4</v>
      </c>
      <c r="HW68" s="12">
        <v>0</v>
      </c>
      <c r="HX68" s="12">
        <v>0</v>
      </c>
      <c r="HY68" s="12">
        <v>0</v>
      </c>
      <c r="HZ68" s="12">
        <v>0</v>
      </c>
      <c r="IA68" s="12">
        <v>0</v>
      </c>
      <c r="IB68" s="12">
        <v>0</v>
      </c>
      <c r="IC68" s="12">
        <v>0</v>
      </c>
      <c r="ID68" s="12">
        <v>0</v>
      </c>
      <c r="IE68" s="12">
        <v>0</v>
      </c>
      <c r="IF68" s="12">
        <v>0</v>
      </c>
      <c r="IG68" s="12">
        <v>5</v>
      </c>
      <c r="IH68" s="12">
        <v>0</v>
      </c>
      <c r="II68" s="12">
        <v>2</v>
      </c>
      <c r="IJ68" s="12">
        <v>0</v>
      </c>
      <c r="IK68" s="12">
        <v>0</v>
      </c>
      <c r="IL68" s="12">
        <v>0</v>
      </c>
      <c r="IM68" s="12">
        <v>0</v>
      </c>
      <c r="IN68" s="12">
        <v>0</v>
      </c>
      <c r="IO68" s="12">
        <v>0</v>
      </c>
      <c r="IP68" s="12">
        <v>0</v>
      </c>
      <c r="IQ68" s="12">
        <v>0</v>
      </c>
      <c r="IR68" s="12">
        <v>0</v>
      </c>
      <c r="IS68" s="12">
        <v>0</v>
      </c>
      <c r="IT68" s="12">
        <v>0</v>
      </c>
      <c r="IU68" s="12">
        <v>0</v>
      </c>
      <c r="IV68" s="12">
        <v>0</v>
      </c>
      <c r="IW68" s="12">
        <v>0</v>
      </c>
      <c r="IX68" s="11">
        <v>13000</v>
      </c>
      <c r="IY68" s="11">
        <v>15000</v>
      </c>
      <c r="IZ68" s="11">
        <v>15000</v>
      </c>
      <c r="JA68" s="85">
        <v>0</v>
      </c>
      <c r="JB68" s="85">
        <v>0</v>
      </c>
      <c r="JC68" s="85">
        <v>0</v>
      </c>
      <c r="JD68" s="12">
        <v>8</v>
      </c>
      <c r="JE68" s="12">
        <v>8</v>
      </c>
      <c r="JF68" s="12">
        <v>8</v>
      </c>
      <c r="JG68" s="12">
        <v>8</v>
      </c>
      <c r="JH68" s="12">
        <v>8</v>
      </c>
      <c r="JI68" s="12">
        <v>8</v>
      </c>
      <c r="JJ68" s="13" t="s">
        <v>620</v>
      </c>
      <c r="JK68" s="13" t="s">
        <v>619</v>
      </c>
      <c r="JL68" s="13" t="s">
        <v>297</v>
      </c>
      <c r="JM68" s="89"/>
      <c r="JN68" s="89"/>
      <c r="JO68" s="89" t="s">
        <v>296</v>
      </c>
      <c r="JP68" s="89"/>
      <c r="JQ68" s="89"/>
      <c r="JR68" s="89" t="s">
        <v>297</v>
      </c>
      <c r="JS68" s="89" t="s">
        <v>620</v>
      </c>
      <c r="JT68" s="89" t="s">
        <v>619</v>
      </c>
      <c r="JU68" s="89" t="s">
        <v>296</v>
      </c>
      <c r="JV68" s="89"/>
      <c r="JW68" s="89"/>
      <c r="JX68" s="89" t="s">
        <v>297</v>
      </c>
      <c r="JY68" s="12" t="s">
        <v>34</v>
      </c>
      <c r="JZ68" s="12" t="s">
        <v>34</v>
      </c>
      <c r="KA68" s="12" t="s">
        <v>34</v>
      </c>
      <c r="KB68" s="12" t="s">
        <v>34</v>
      </c>
      <c r="KC68" s="12" t="s">
        <v>34</v>
      </c>
      <c r="KD68" s="12" t="s">
        <v>34</v>
      </c>
      <c r="KE68" s="12" t="s">
        <v>34</v>
      </c>
      <c r="KF68" s="12"/>
      <c r="KG68" s="12" t="s">
        <v>34</v>
      </c>
      <c r="KH68" s="12" t="s">
        <v>34</v>
      </c>
      <c r="KI68" s="12" t="s">
        <v>34</v>
      </c>
      <c r="KJ68" s="12" t="s">
        <v>34</v>
      </c>
      <c r="KK68" s="12" t="s">
        <v>34</v>
      </c>
      <c r="KL68" s="12" t="s">
        <v>34</v>
      </c>
      <c r="KM68" s="12" t="s">
        <v>34</v>
      </c>
      <c r="KN68" s="12" t="s">
        <v>619</v>
      </c>
      <c r="KO68" s="12" t="s">
        <v>34</v>
      </c>
      <c r="KP68" s="12" t="s">
        <v>34</v>
      </c>
      <c r="KQ68" s="12" t="s">
        <v>34</v>
      </c>
      <c r="KR68" s="12" t="s">
        <v>34</v>
      </c>
      <c r="KS68" s="12" t="s">
        <v>34</v>
      </c>
      <c r="KT68" s="12" t="s">
        <v>34</v>
      </c>
      <c r="KU68" s="12" t="s">
        <v>34</v>
      </c>
      <c r="KV68" s="12" t="s">
        <v>34</v>
      </c>
      <c r="KW68" s="12" t="s">
        <v>34</v>
      </c>
      <c r="KX68" s="12" t="s">
        <v>34</v>
      </c>
      <c r="KY68" s="12" t="s">
        <v>34</v>
      </c>
      <c r="KZ68" s="12" t="s">
        <v>34</v>
      </c>
      <c r="LA68" s="12" t="s">
        <v>34</v>
      </c>
      <c r="LB68" s="12" t="s">
        <v>34</v>
      </c>
      <c r="LC68" s="12" t="s">
        <v>34</v>
      </c>
      <c r="LD68" s="12" t="s">
        <v>619</v>
      </c>
      <c r="LE68" s="12" t="s">
        <v>34</v>
      </c>
      <c r="LF68" s="12" t="s">
        <v>34</v>
      </c>
      <c r="LG68" s="12" t="s">
        <v>34</v>
      </c>
      <c r="LH68" s="12" t="s">
        <v>34</v>
      </c>
      <c r="LI68" s="12" t="s">
        <v>34</v>
      </c>
      <c r="LJ68" s="12" t="s">
        <v>34</v>
      </c>
      <c r="LK68" s="12" t="s">
        <v>34</v>
      </c>
      <c r="LL68" s="13" t="s">
        <v>34</v>
      </c>
      <c r="LM68" s="13" t="s">
        <v>34</v>
      </c>
      <c r="LN68" s="13" t="s">
        <v>34</v>
      </c>
      <c r="LO68" s="13" t="s">
        <v>34</v>
      </c>
      <c r="LP68" s="90" t="s">
        <v>34</v>
      </c>
      <c r="LQ68" s="13" t="s">
        <v>34</v>
      </c>
      <c r="LR68" s="13" t="s">
        <v>34</v>
      </c>
      <c r="LS68" s="13"/>
      <c r="LT68" s="13" t="s">
        <v>34</v>
      </c>
      <c r="LU68" s="13" t="s">
        <v>34</v>
      </c>
      <c r="LV68" s="13" t="s">
        <v>34</v>
      </c>
      <c r="LW68" s="13" t="s">
        <v>34</v>
      </c>
      <c r="LX68" s="13" t="s">
        <v>34</v>
      </c>
      <c r="LY68" s="13" t="s">
        <v>34</v>
      </c>
      <c r="LZ68" s="13" t="s">
        <v>34</v>
      </c>
      <c r="MA68" s="13" t="s">
        <v>34</v>
      </c>
      <c r="MB68" s="13" t="s">
        <v>34</v>
      </c>
      <c r="MC68" s="13" t="s">
        <v>34</v>
      </c>
      <c r="MD68" s="13" t="s">
        <v>34</v>
      </c>
      <c r="ME68" s="13" t="s">
        <v>34</v>
      </c>
      <c r="MF68" s="13" t="s">
        <v>34</v>
      </c>
      <c r="MG68" s="13" t="s">
        <v>34</v>
      </c>
      <c r="MH68" s="13" t="s">
        <v>34</v>
      </c>
      <c r="MI68" s="13" t="s">
        <v>34</v>
      </c>
      <c r="MJ68" s="13" t="s">
        <v>34</v>
      </c>
      <c r="MK68" s="13" t="s">
        <v>34</v>
      </c>
      <c r="ML68" s="13" t="s">
        <v>34</v>
      </c>
      <c r="MM68" s="13" t="s">
        <v>34</v>
      </c>
      <c r="MN68" s="13" t="s">
        <v>34</v>
      </c>
      <c r="MO68" s="13" t="s">
        <v>34</v>
      </c>
      <c r="MP68" s="13" t="s">
        <v>34</v>
      </c>
      <c r="MQ68" s="13" t="s">
        <v>34</v>
      </c>
      <c r="MR68" s="13" t="s">
        <v>34</v>
      </c>
      <c r="MS68" s="13" t="s">
        <v>34</v>
      </c>
      <c r="MT68" s="13" t="s">
        <v>34</v>
      </c>
      <c r="MU68" s="13" t="s">
        <v>34</v>
      </c>
      <c r="MV68" s="13" t="s">
        <v>34</v>
      </c>
      <c r="MW68" s="13" t="s">
        <v>34</v>
      </c>
      <c r="MX68" s="13" t="s">
        <v>34</v>
      </c>
      <c r="MY68" s="28" t="s">
        <v>296</v>
      </c>
      <c r="MZ68" s="28" t="s">
        <v>297</v>
      </c>
      <c r="NA68" s="28" t="s">
        <v>296</v>
      </c>
      <c r="NB68" s="28" t="s">
        <v>296</v>
      </c>
      <c r="NC68" s="28" t="s">
        <v>296</v>
      </c>
      <c r="ND68" s="28" t="s">
        <v>296</v>
      </c>
      <c r="NE68" s="28" t="s">
        <v>296</v>
      </c>
      <c r="NF68" s="28" t="s">
        <v>297</v>
      </c>
      <c r="NG68" s="28" t="s">
        <v>297</v>
      </c>
      <c r="NH68" s="28" t="s">
        <v>297</v>
      </c>
      <c r="NI68" s="177" t="s">
        <v>296</v>
      </c>
      <c r="NJ68" s="177" t="s">
        <v>297</v>
      </c>
      <c r="NK68" s="177" t="s">
        <v>296</v>
      </c>
      <c r="NL68" s="177" t="s">
        <v>297</v>
      </c>
      <c r="NM68" s="177" t="s">
        <v>296</v>
      </c>
      <c r="NN68" s="177" t="s">
        <v>296</v>
      </c>
      <c r="NO68" s="177" t="s">
        <v>296</v>
      </c>
      <c r="NP68" s="177" t="s">
        <v>297</v>
      </c>
      <c r="NQ68" s="177" t="s">
        <v>296</v>
      </c>
      <c r="NR68" s="12" t="s">
        <v>34</v>
      </c>
      <c r="NS68" s="13" t="s">
        <v>34</v>
      </c>
    </row>
    <row r="69" spans="1:383" x14ac:dyDescent="0.25">
      <c r="A69" s="8" t="s">
        <v>178</v>
      </c>
      <c r="B69" s="9" t="s">
        <v>179</v>
      </c>
      <c r="C69" s="9">
        <v>44</v>
      </c>
      <c r="D69" s="9" t="s">
        <v>51</v>
      </c>
      <c r="E69" s="10">
        <v>81</v>
      </c>
      <c r="F69" s="10">
        <v>41</v>
      </c>
      <c r="G69" s="10">
        <v>36</v>
      </c>
      <c r="H69" s="10">
        <v>34</v>
      </c>
      <c r="I69" s="10">
        <v>32</v>
      </c>
      <c r="J69" s="11">
        <v>366</v>
      </c>
      <c r="K69" s="11">
        <v>245</v>
      </c>
      <c r="L69" s="11">
        <v>188</v>
      </c>
      <c r="M69" s="11">
        <v>178</v>
      </c>
      <c r="N69" s="11">
        <v>162</v>
      </c>
      <c r="O69" s="13">
        <v>9168</v>
      </c>
      <c r="P69" s="13">
        <v>4441</v>
      </c>
      <c r="Q69" s="13">
        <v>2692</v>
      </c>
      <c r="R69" s="13">
        <v>3212</v>
      </c>
      <c r="S69" s="13">
        <v>1922</v>
      </c>
      <c r="T69" s="12">
        <v>270</v>
      </c>
      <c r="U69" s="12">
        <v>299</v>
      </c>
      <c r="V69" s="12">
        <v>216</v>
      </c>
      <c r="W69" s="12">
        <v>95</v>
      </c>
      <c r="X69" s="12">
        <v>71</v>
      </c>
      <c r="Y69" s="12">
        <v>5.6</v>
      </c>
      <c r="Z69" s="12">
        <v>5.6</v>
      </c>
      <c r="AA69" s="12">
        <v>5.6</v>
      </c>
      <c r="AB69" s="13">
        <v>5.6</v>
      </c>
      <c r="AC69" s="13">
        <v>5.6</v>
      </c>
      <c r="AD69" s="13">
        <v>5.6</v>
      </c>
      <c r="AE69" s="35" t="s">
        <v>259</v>
      </c>
      <c r="AF69" s="35" t="s">
        <v>259</v>
      </c>
      <c r="AG69" s="35" t="s">
        <v>259</v>
      </c>
      <c r="AH69" s="38">
        <v>1</v>
      </c>
      <c r="AI69" s="38">
        <v>1</v>
      </c>
      <c r="AJ69" s="38">
        <v>1</v>
      </c>
      <c r="AK69" s="45" t="s">
        <v>34</v>
      </c>
      <c r="AL69" s="45" t="s">
        <v>34</v>
      </c>
      <c r="AM69" s="45" t="s">
        <v>34</v>
      </c>
      <c r="AN69" s="45" t="s">
        <v>34</v>
      </c>
      <c r="AO69" s="45" t="s">
        <v>34</v>
      </c>
      <c r="AP69" s="45" t="s">
        <v>292</v>
      </c>
      <c r="AQ69" s="53" t="s">
        <v>297</v>
      </c>
      <c r="AR69" s="56">
        <v>104</v>
      </c>
      <c r="AS69" s="57">
        <v>19</v>
      </c>
      <c r="AT69" s="56">
        <v>17</v>
      </c>
      <c r="AU69" s="57">
        <v>6964</v>
      </c>
      <c r="AV69" s="57">
        <v>1060</v>
      </c>
      <c r="AW69" s="57">
        <v>1545</v>
      </c>
      <c r="AX69" s="57">
        <v>11</v>
      </c>
      <c r="AY69" s="57">
        <v>0</v>
      </c>
      <c r="AZ69" s="57">
        <v>4</v>
      </c>
      <c r="BA69" s="57">
        <v>30</v>
      </c>
      <c r="BB69" s="57">
        <v>70</v>
      </c>
      <c r="BC69" s="57">
        <v>0</v>
      </c>
      <c r="BD69" s="57">
        <v>0</v>
      </c>
      <c r="BE69" s="57">
        <v>1031</v>
      </c>
      <c r="BF69" s="57">
        <v>475</v>
      </c>
      <c r="BG69" s="57">
        <v>0</v>
      </c>
      <c r="BH69" s="57">
        <v>263</v>
      </c>
      <c r="BI69" s="57">
        <v>247</v>
      </c>
      <c r="BJ69" s="57" t="s">
        <v>297</v>
      </c>
      <c r="BK69" s="57">
        <v>5</v>
      </c>
      <c r="BL69" s="57">
        <v>1</v>
      </c>
      <c r="BM69" s="57">
        <v>0</v>
      </c>
      <c r="BN69" s="57">
        <v>390</v>
      </c>
      <c r="BO69" s="57">
        <v>200</v>
      </c>
      <c r="BP69" s="57">
        <v>0</v>
      </c>
      <c r="BQ69" s="76">
        <v>816</v>
      </c>
      <c r="BR69" s="76">
        <v>805</v>
      </c>
      <c r="BS69">
        <v>776</v>
      </c>
      <c r="BT69">
        <v>776</v>
      </c>
      <c r="BU69">
        <v>769</v>
      </c>
      <c r="BV69">
        <v>101241</v>
      </c>
      <c r="BW69">
        <v>101192</v>
      </c>
      <c r="BX69">
        <v>101237</v>
      </c>
      <c r="BY69">
        <v>100348</v>
      </c>
      <c r="BZ69">
        <v>99022</v>
      </c>
      <c r="CA69">
        <v>80</v>
      </c>
      <c r="CB69">
        <v>41</v>
      </c>
      <c r="CC69">
        <v>36</v>
      </c>
      <c r="CD69">
        <v>34</v>
      </c>
      <c r="CE69">
        <v>32</v>
      </c>
      <c r="CF69">
        <v>9438</v>
      </c>
      <c r="CG69">
        <v>4740</v>
      </c>
      <c r="CH69">
        <v>2908</v>
      </c>
      <c r="CI69">
        <v>3307</v>
      </c>
      <c r="CJ69">
        <v>1993</v>
      </c>
      <c r="CK69" s="10">
        <v>25</v>
      </c>
      <c r="CL69" s="10">
        <v>25</v>
      </c>
      <c r="CM69" s="10">
        <v>25</v>
      </c>
      <c r="CN69" s="11">
        <v>16</v>
      </c>
      <c r="CO69" s="11">
        <v>16</v>
      </c>
      <c r="CP69" s="11">
        <v>16.5</v>
      </c>
      <c r="CQ69" s="13">
        <v>3</v>
      </c>
      <c r="CR69" s="13">
        <v>3</v>
      </c>
      <c r="CS69" s="13">
        <v>0</v>
      </c>
      <c r="CT69" s="10">
        <v>0</v>
      </c>
      <c r="CU69" s="10">
        <v>0</v>
      </c>
      <c r="CV69" s="10">
        <v>3</v>
      </c>
      <c r="CW69" s="10">
        <v>1</v>
      </c>
      <c r="CX69" s="10">
        <v>0</v>
      </c>
      <c r="CY69" s="10">
        <v>0</v>
      </c>
      <c r="CZ69" s="10">
        <v>9</v>
      </c>
      <c r="DA69" s="10">
        <v>1</v>
      </c>
      <c r="DB69" s="10">
        <v>0</v>
      </c>
      <c r="DC69" s="10">
        <v>1</v>
      </c>
      <c r="DD69" s="10">
        <v>0</v>
      </c>
      <c r="DE69" s="10">
        <v>0</v>
      </c>
      <c r="DF69" s="10">
        <v>0</v>
      </c>
      <c r="DG69" s="10">
        <v>0</v>
      </c>
      <c r="DH69" s="10">
        <v>0</v>
      </c>
      <c r="DI69" s="81">
        <v>0</v>
      </c>
      <c r="DJ69" s="81">
        <v>0</v>
      </c>
      <c r="DK69" s="81">
        <v>1</v>
      </c>
      <c r="DL69" s="81">
        <v>0</v>
      </c>
      <c r="DM69" s="81">
        <v>6</v>
      </c>
      <c r="DN69" s="12">
        <v>6</v>
      </c>
      <c r="DO69" s="12">
        <v>0</v>
      </c>
      <c r="DP69" s="12">
        <v>2</v>
      </c>
      <c r="DQ69" s="12">
        <v>0</v>
      </c>
      <c r="DR69" s="12">
        <v>0</v>
      </c>
      <c r="DS69" s="12">
        <v>0</v>
      </c>
      <c r="DT69" s="12">
        <v>0</v>
      </c>
      <c r="DU69" s="12">
        <v>0</v>
      </c>
      <c r="DV69" s="12">
        <v>0</v>
      </c>
      <c r="DW69" s="12">
        <v>6</v>
      </c>
      <c r="DX69" s="12">
        <v>1</v>
      </c>
      <c r="DY69" s="12">
        <v>6</v>
      </c>
      <c r="DZ69" s="12">
        <v>1</v>
      </c>
      <c r="EA69" s="12">
        <v>0</v>
      </c>
      <c r="EB69" s="12">
        <v>3</v>
      </c>
      <c r="EC69" s="12">
        <v>0</v>
      </c>
      <c r="ED69" s="12">
        <v>0</v>
      </c>
      <c r="EE69" s="12">
        <v>1</v>
      </c>
      <c r="EF69" s="12">
        <v>2</v>
      </c>
      <c r="EG69" s="12">
        <v>0</v>
      </c>
      <c r="EH69" s="12">
        <v>0</v>
      </c>
      <c r="EI69" s="12">
        <v>0</v>
      </c>
      <c r="EJ69" s="12">
        <v>0</v>
      </c>
      <c r="EK69" s="12">
        <v>1</v>
      </c>
      <c r="EL69" s="12">
        <v>0</v>
      </c>
      <c r="EM69" s="12">
        <v>1</v>
      </c>
      <c r="EN69" s="12">
        <v>0</v>
      </c>
      <c r="EO69" s="12">
        <v>0</v>
      </c>
      <c r="EP69" s="12">
        <v>0</v>
      </c>
      <c r="EQ69" s="12">
        <v>6</v>
      </c>
      <c r="ER69" s="12">
        <v>0</v>
      </c>
      <c r="ES69" s="13">
        <v>1</v>
      </c>
      <c r="ET69" s="13">
        <v>1</v>
      </c>
      <c r="EU69" s="13">
        <v>0</v>
      </c>
      <c r="EV69" s="10">
        <v>0</v>
      </c>
      <c r="EW69" s="10">
        <v>0</v>
      </c>
      <c r="EX69" s="10">
        <v>0</v>
      </c>
      <c r="EY69" s="10">
        <v>0</v>
      </c>
      <c r="EZ69" s="10">
        <v>0</v>
      </c>
      <c r="FA69" s="10">
        <v>0</v>
      </c>
      <c r="FB69" s="10">
        <v>0</v>
      </c>
      <c r="FC69" s="10">
        <v>0</v>
      </c>
      <c r="FD69" s="10">
        <v>0</v>
      </c>
      <c r="FE69" s="10">
        <v>0</v>
      </c>
      <c r="FF69" s="10">
        <v>0</v>
      </c>
      <c r="FG69" s="10">
        <v>5</v>
      </c>
      <c r="FH69" s="10">
        <v>0</v>
      </c>
      <c r="FI69" s="10">
        <v>0</v>
      </c>
      <c r="FJ69" s="10">
        <v>0</v>
      </c>
      <c r="FK69" s="81">
        <v>0</v>
      </c>
      <c r="FL69" s="81">
        <v>0</v>
      </c>
      <c r="FM69" s="81">
        <v>0</v>
      </c>
      <c r="FN69" s="81">
        <v>0</v>
      </c>
      <c r="FO69" s="81">
        <v>2</v>
      </c>
      <c r="FP69" s="12">
        <v>1</v>
      </c>
      <c r="FQ69" s="12">
        <v>0</v>
      </c>
      <c r="FR69" s="12">
        <v>1</v>
      </c>
      <c r="FS69" s="12">
        <v>0</v>
      </c>
      <c r="FT69" s="12">
        <v>0</v>
      </c>
      <c r="FU69" s="12">
        <v>0</v>
      </c>
      <c r="FV69" s="12">
        <v>0</v>
      </c>
      <c r="FW69" s="12">
        <v>0</v>
      </c>
      <c r="FX69" s="12">
        <v>0</v>
      </c>
      <c r="FY69" s="12">
        <v>0</v>
      </c>
      <c r="FZ69" s="12">
        <v>0</v>
      </c>
      <c r="GA69" s="12">
        <v>1</v>
      </c>
      <c r="GB69" s="12">
        <v>1</v>
      </c>
      <c r="GC69" s="12">
        <v>0</v>
      </c>
      <c r="GD69" s="12">
        <v>1</v>
      </c>
      <c r="GE69" s="12">
        <v>0</v>
      </c>
      <c r="GF69" s="12">
        <v>0</v>
      </c>
      <c r="GG69" s="12">
        <v>0</v>
      </c>
      <c r="GH69" s="12">
        <v>0</v>
      </c>
      <c r="GI69" s="12">
        <v>0</v>
      </c>
      <c r="GJ69" s="12">
        <v>0</v>
      </c>
      <c r="GK69" s="12">
        <v>0</v>
      </c>
      <c r="GL69" s="12">
        <v>0</v>
      </c>
      <c r="GM69" s="12">
        <v>0</v>
      </c>
      <c r="GN69" s="12">
        <v>0</v>
      </c>
      <c r="GO69" s="12">
        <v>0</v>
      </c>
      <c r="GP69" s="12">
        <v>0</v>
      </c>
      <c r="GQ69" s="12">
        <v>0</v>
      </c>
      <c r="GR69" s="12">
        <v>0</v>
      </c>
      <c r="GS69" s="12">
        <v>0</v>
      </c>
      <c r="GT69" s="12">
        <v>0</v>
      </c>
      <c r="GU69" s="13">
        <v>19</v>
      </c>
      <c r="GV69" s="13">
        <v>7</v>
      </c>
      <c r="GW69" s="13">
        <v>7</v>
      </c>
      <c r="GX69" s="13">
        <v>0</v>
      </c>
      <c r="GY69" s="10">
        <v>0</v>
      </c>
      <c r="GZ69" s="10">
        <v>0</v>
      </c>
      <c r="HA69" s="10">
        <v>0</v>
      </c>
      <c r="HB69" s="10">
        <v>0</v>
      </c>
      <c r="HC69" s="10">
        <v>0</v>
      </c>
      <c r="HD69" s="10">
        <v>0</v>
      </c>
      <c r="HE69" s="10">
        <v>0</v>
      </c>
      <c r="HF69" s="10">
        <v>0</v>
      </c>
      <c r="HG69" s="10">
        <v>0</v>
      </c>
      <c r="HH69" s="10">
        <v>0</v>
      </c>
      <c r="HI69" s="10">
        <v>4</v>
      </c>
      <c r="HJ69" s="10">
        <v>0</v>
      </c>
      <c r="HK69" s="10">
        <v>0</v>
      </c>
      <c r="HL69" s="10">
        <v>0</v>
      </c>
      <c r="HM69" s="10">
        <v>0</v>
      </c>
      <c r="HN69" s="81">
        <v>0</v>
      </c>
      <c r="HO69" s="81">
        <v>0</v>
      </c>
      <c r="HP69" s="81">
        <v>4</v>
      </c>
      <c r="HQ69" s="81">
        <v>0</v>
      </c>
      <c r="HR69" s="81">
        <v>0</v>
      </c>
      <c r="HS69" s="12">
        <v>2</v>
      </c>
      <c r="HT69" s="12">
        <v>0</v>
      </c>
      <c r="HU69" s="12">
        <v>0</v>
      </c>
      <c r="HV69" s="12">
        <v>0</v>
      </c>
      <c r="HW69" s="12">
        <v>0</v>
      </c>
      <c r="HX69" s="12">
        <v>0</v>
      </c>
      <c r="HY69" s="12">
        <v>0</v>
      </c>
      <c r="HZ69" s="12">
        <v>0</v>
      </c>
      <c r="IA69" s="12">
        <v>0</v>
      </c>
      <c r="IB69" s="12">
        <v>2</v>
      </c>
      <c r="IC69" s="12">
        <v>6</v>
      </c>
      <c r="ID69" s="12">
        <v>0</v>
      </c>
      <c r="IE69" s="12">
        <v>2</v>
      </c>
      <c r="IF69" s="12">
        <v>0</v>
      </c>
      <c r="IG69" s="12">
        <v>2</v>
      </c>
      <c r="IH69" s="12">
        <v>0</v>
      </c>
      <c r="II69" s="12">
        <v>4</v>
      </c>
      <c r="IJ69" s="12">
        <v>0</v>
      </c>
      <c r="IK69" s="12">
        <v>4</v>
      </c>
      <c r="IL69" s="12">
        <v>0</v>
      </c>
      <c r="IM69" s="12">
        <v>0</v>
      </c>
      <c r="IN69" s="12">
        <v>0</v>
      </c>
      <c r="IO69" s="12">
        <v>0</v>
      </c>
      <c r="IP69" s="12">
        <v>0</v>
      </c>
      <c r="IQ69" s="12">
        <v>0</v>
      </c>
      <c r="IR69" s="12">
        <v>4</v>
      </c>
      <c r="IS69" s="12">
        <v>4</v>
      </c>
      <c r="IT69" s="12">
        <v>0</v>
      </c>
      <c r="IU69" s="12">
        <v>0</v>
      </c>
      <c r="IV69" s="12">
        <v>4</v>
      </c>
      <c r="IW69" s="12">
        <v>0</v>
      </c>
      <c r="IX69" s="11">
        <v>0</v>
      </c>
      <c r="IY69" s="11">
        <v>0</v>
      </c>
      <c r="IZ69" s="11">
        <v>0</v>
      </c>
      <c r="JA69" s="85">
        <v>0</v>
      </c>
      <c r="JB69" s="85">
        <v>0</v>
      </c>
      <c r="JC69" s="85">
        <v>0</v>
      </c>
      <c r="JD69" s="12">
        <v>21</v>
      </c>
      <c r="JE69" s="12">
        <v>4</v>
      </c>
      <c r="JF69" s="12">
        <v>16</v>
      </c>
      <c r="JG69" s="12">
        <v>1</v>
      </c>
      <c r="JH69" s="12">
        <v>16</v>
      </c>
      <c r="JI69" s="12">
        <v>1</v>
      </c>
      <c r="JJ69" s="13" t="s">
        <v>620</v>
      </c>
      <c r="JK69" s="13" t="s">
        <v>620</v>
      </c>
      <c r="JL69" s="13" t="s">
        <v>297</v>
      </c>
      <c r="JM69" s="89"/>
      <c r="JN69" s="89"/>
      <c r="JO69" s="89" t="s">
        <v>296</v>
      </c>
      <c r="JP69" s="89"/>
      <c r="JQ69" s="89"/>
      <c r="JR69" s="89" t="s">
        <v>296</v>
      </c>
      <c r="JS69" s="89" t="s">
        <v>620</v>
      </c>
      <c r="JT69" s="89" t="s">
        <v>619</v>
      </c>
      <c r="JU69" s="89" t="s">
        <v>297</v>
      </c>
      <c r="JV69" s="89"/>
      <c r="JW69" s="89"/>
      <c r="JX69" s="89" t="s">
        <v>297</v>
      </c>
      <c r="JY69" s="12" t="s">
        <v>34</v>
      </c>
      <c r="JZ69" s="12" t="s">
        <v>34</v>
      </c>
      <c r="KA69" s="12" t="s">
        <v>34</v>
      </c>
      <c r="KB69" s="12" t="s">
        <v>34</v>
      </c>
      <c r="KC69" s="12" t="s">
        <v>34</v>
      </c>
      <c r="KD69" s="12" t="s">
        <v>34</v>
      </c>
      <c r="KE69" s="12" t="s">
        <v>34</v>
      </c>
      <c r="KF69" s="12"/>
      <c r="KG69" s="12" t="s">
        <v>34</v>
      </c>
      <c r="KH69" s="12" t="s">
        <v>34</v>
      </c>
      <c r="KI69" s="12" t="s">
        <v>34</v>
      </c>
      <c r="KJ69" s="12" t="s">
        <v>34</v>
      </c>
      <c r="KK69" s="12" t="s">
        <v>34</v>
      </c>
      <c r="KL69" s="12" t="s">
        <v>34</v>
      </c>
      <c r="KM69" s="12" t="s">
        <v>34</v>
      </c>
      <c r="KN69" s="12" t="s">
        <v>34</v>
      </c>
      <c r="KO69" s="12" t="s">
        <v>619</v>
      </c>
      <c r="KP69" s="12" t="s">
        <v>34</v>
      </c>
      <c r="KQ69" s="12" t="s">
        <v>34</v>
      </c>
      <c r="KR69" s="12" t="s">
        <v>34</v>
      </c>
      <c r="KS69" s="12" t="s">
        <v>34</v>
      </c>
      <c r="KT69" s="12" t="s">
        <v>34</v>
      </c>
      <c r="KU69" s="12" t="s">
        <v>34</v>
      </c>
      <c r="KV69" s="12" t="s">
        <v>34</v>
      </c>
      <c r="KW69" s="12" t="s">
        <v>34</v>
      </c>
      <c r="KX69" s="12" t="s">
        <v>34</v>
      </c>
      <c r="KY69" s="12" t="s">
        <v>34</v>
      </c>
      <c r="KZ69" s="12" t="s">
        <v>34</v>
      </c>
      <c r="LA69" s="12" t="s">
        <v>34</v>
      </c>
      <c r="LB69" s="12" t="s">
        <v>34</v>
      </c>
      <c r="LC69" s="12" t="s">
        <v>34</v>
      </c>
      <c r="LD69" s="12" t="s">
        <v>34</v>
      </c>
      <c r="LE69" s="12" t="s">
        <v>34</v>
      </c>
      <c r="LF69" s="12" t="s">
        <v>34</v>
      </c>
      <c r="LG69" s="12" t="s">
        <v>34</v>
      </c>
      <c r="LH69" s="12" t="s">
        <v>34</v>
      </c>
      <c r="LI69" s="12" t="s">
        <v>34</v>
      </c>
      <c r="LJ69" s="12" t="s">
        <v>34</v>
      </c>
      <c r="LK69" s="12" t="s">
        <v>34</v>
      </c>
      <c r="LL69" s="13" t="s">
        <v>34</v>
      </c>
      <c r="LM69" s="13" t="s">
        <v>34</v>
      </c>
      <c r="LN69" s="13" t="s">
        <v>34</v>
      </c>
      <c r="LO69" s="13" t="s">
        <v>34</v>
      </c>
      <c r="LP69" s="90" t="s">
        <v>34</v>
      </c>
      <c r="LQ69" s="13" t="s">
        <v>34</v>
      </c>
      <c r="LR69" s="13" t="s">
        <v>34</v>
      </c>
      <c r="LS69" s="13"/>
      <c r="LT69" s="13" t="s">
        <v>34</v>
      </c>
      <c r="LU69" s="13" t="s">
        <v>34</v>
      </c>
      <c r="LV69" s="13" t="s">
        <v>34</v>
      </c>
      <c r="LW69" s="13" t="s">
        <v>34</v>
      </c>
      <c r="LX69" s="13" t="s">
        <v>34</v>
      </c>
      <c r="LY69" s="13" t="s">
        <v>34</v>
      </c>
      <c r="LZ69" s="13" t="s">
        <v>34</v>
      </c>
      <c r="MA69" s="13" t="s">
        <v>34</v>
      </c>
      <c r="MB69" s="13" t="s">
        <v>619</v>
      </c>
      <c r="MC69" s="13" t="s">
        <v>34</v>
      </c>
      <c r="MD69" s="13" t="s">
        <v>34</v>
      </c>
      <c r="ME69" s="13" t="s">
        <v>34</v>
      </c>
      <c r="MF69" s="13" t="s">
        <v>34</v>
      </c>
      <c r="MG69" s="13" t="s">
        <v>34</v>
      </c>
      <c r="MH69" s="13" t="s">
        <v>34</v>
      </c>
      <c r="MI69" s="13" t="s">
        <v>34</v>
      </c>
      <c r="MJ69" s="13" t="s">
        <v>34</v>
      </c>
      <c r="MK69" s="13" t="s">
        <v>34</v>
      </c>
      <c r="ML69" s="13" t="s">
        <v>34</v>
      </c>
      <c r="MM69" s="13" t="s">
        <v>34</v>
      </c>
      <c r="MN69" s="13" t="s">
        <v>34</v>
      </c>
      <c r="MO69" s="13" t="s">
        <v>619</v>
      </c>
      <c r="MP69" s="13" t="s">
        <v>34</v>
      </c>
      <c r="MQ69" s="13" t="s">
        <v>34</v>
      </c>
      <c r="MR69" s="13" t="s">
        <v>34</v>
      </c>
      <c r="MS69" s="13" t="s">
        <v>34</v>
      </c>
      <c r="MT69" s="13" t="s">
        <v>34</v>
      </c>
      <c r="MU69" s="13" t="s">
        <v>34</v>
      </c>
      <c r="MV69" s="13" t="s">
        <v>34</v>
      </c>
      <c r="MW69" s="13" t="s">
        <v>34</v>
      </c>
      <c r="MX69" s="13" t="s">
        <v>34</v>
      </c>
      <c r="MY69" s="28" t="s">
        <v>296</v>
      </c>
      <c r="MZ69" s="28" t="s">
        <v>297</v>
      </c>
      <c r="NA69" s="28" t="s">
        <v>296</v>
      </c>
      <c r="NB69" s="28" t="s">
        <v>296</v>
      </c>
      <c r="NC69" s="28" t="s">
        <v>296</v>
      </c>
      <c r="ND69" s="28" t="s">
        <v>296</v>
      </c>
      <c r="NE69" s="28" t="s">
        <v>297</v>
      </c>
      <c r="NF69" s="28" t="s">
        <v>297</v>
      </c>
      <c r="NG69" s="28" t="s">
        <v>297</v>
      </c>
      <c r="NH69" s="28" t="s">
        <v>297</v>
      </c>
      <c r="NI69" s="177" t="s">
        <v>296</v>
      </c>
      <c r="NJ69" s="177" t="s">
        <v>297</v>
      </c>
      <c r="NK69" s="177" t="s">
        <v>296</v>
      </c>
      <c r="NL69" s="177" t="s">
        <v>296</v>
      </c>
      <c r="NM69" s="177" t="s">
        <v>296</v>
      </c>
      <c r="NN69" s="177" t="s">
        <v>296</v>
      </c>
      <c r="NO69" s="177" t="s">
        <v>296</v>
      </c>
      <c r="NP69" s="177" t="s">
        <v>296</v>
      </c>
      <c r="NQ69" s="177" t="s">
        <v>296</v>
      </c>
      <c r="NR69" s="12" t="s">
        <v>34</v>
      </c>
      <c r="NS69" s="13" t="s">
        <v>34</v>
      </c>
    </row>
    <row r="70" spans="1:383" x14ac:dyDescent="0.25">
      <c r="A70" s="8" t="s">
        <v>180</v>
      </c>
      <c r="B70" s="9" t="s">
        <v>181</v>
      </c>
      <c r="C70" s="9">
        <v>44</v>
      </c>
      <c r="D70" s="9" t="s">
        <v>51</v>
      </c>
      <c r="E70" s="10">
        <v>130</v>
      </c>
      <c r="F70" s="10">
        <v>123</v>
      </c>
      <c r="G70" s="10">
        <v>118</v>
      </c>
      <c r="H70" s="10">
        <v>106</v>
      </c>
      <c r="I70" s="10">
        <v>88</v>
      </c>
      <c r="J70" s="11">
        <v>1138</v>
      </c>
      <c r="K70" s="14">
        <v>1109</v>
      </c>
      <c r="L70" s="14">
        <v>961</v>
      </c>
      <c r="M70" s="14">
        <v>865</v>
      </c>
      <c r="N70" s="14">
        <v>701</v>
      </c>
      <c r="O70" s="13">
        <v>15472</v>
      </c>
      <c r="P70" s="13">
        <v>14402</v>
      </c>
      <c r="Q70" s="13">
        <v>12850</v>
      </c>
      <c r="R70" s="13">
        <v>11826</v>
      </c>
      <c r="S70" s="13">
        <v>8724</v>
      </c>
      <c r="T70" s="12">
        <v>1114</v>
      </c>
      <c r="U70" s="12">
        <v>1080</v>
      </c>
      <c r="V70" s="12">
        <v>1006</v>
      </c>
      <c r="W70" s="12">
        <v>986</v>
      </c>
      <c r="X70" s="12">
        <v>809</v>
      </c>
      <c r="Y70" s="12">
        <v>5.35</v>
      </c>
      <c r="Z70" s="12">
        <v>5.8</v>
      </c>
      <c r="AA70" s="12">
        <v>5.8</v>
      </c>
      <c r="AB70" s="13">
        <v>4.8</v>
      </c>
      <c r="AC70" s="13">
        <v>5</v>
      </c>
      <c r="AD70" s="13">
        <v>5</v>
      </c>
      <c r="AE70" s="35" t="s">
        <v>259</v>
      </c>
      <c r="AF70" s="35" t="s">
        <v>259</v>
      </c>
      <c r="AG70" s="35" t="s">
        <v>259</v>
      </c>
      <c r="AH70" s="38">
        <v>1</v>
      </c>
      <c r="AI70" s="38">
        <v>1</v>
      </c>
      <c r="AJ70" s="38">
        <v>1</v>
      </c>
      <c r="AK70" s="45" t="s">
        <v>288</v>
      </c>
      <c r="AL70" s="45" t="s">
        <v>34</v>
      </c>
      <c r="AM70" s="45" t="s">
        <v>34</v>
      </c>
      <c r="AN70" s="45" t="s">
        <v>34</v>
      </c>
      <c r="AO70" s="45" t="s">
        <v>34</v>
      </c>
      <c r="AP70" s="45" t="s">
        <v>34</v>
      </c>
      <c r="AQ70" s="53" t="s">
        <v>297</v>
      </c>
      <c r="AR70" s="56">
        <v>69</v>
      </c>
      <c r="AS70" s="57">
        <v>27</v>
      </c>
      <c r="AT70" s="56">
        <v>21</v>
      </c>
      <c r="AU70" s="57">
        <v>7679</v>
      </c>
      <c r="AV70" s="57">
        <v>2199</v>
      </c>
      <c r="AW70" s="57">
        <v>688</v>
      </c>
      <c r="AX70" s="57">
        <v>0</v>
      </c>
      <c r="AY70" s="57">
        <v>1</v>
      </c>
      <c r="AZ70" s="57">
        <v>17</v>
      </c>
      <c r="BA70" s="57">
        <v>0</v>
      </c>
      <c r="BB70" s="57">
        <v>3222</v>
      </c>
      <c r="BC70" s="57">
        <v>6654</v>
      </c>
      <c r="BD70" s="57">
        <v>0</v>
      </c>
      <c r="BE70" s="57">
        <v>921</v>
      </c>
      <c r="BF70" s="57">
        <v>1278</v>
      </c>
      <c r="BG70" s="57">
        <v>10</v>
      </c>
      <c r="BH70" s="57">
        <v>403</v>
      </c>
      <c r="BI70" s="57">
        <v>670</v>
      </c>
      <c r="BJ70" s="57" t="s">
        <v>297</v>
      </c>
      <c r="BK70" s="57">
        <v>12</v>
      </c>
      <c r="BL70" s="57">
        <v>0</v>
      </c>
      <c r="BM70" s="57">
        <v>0</v>
      </c>
      <c r="BN70" s="57">
        <v>0</v>
      </c>
      <c r="BO70" s="57">
        <v>107</v>
      </c>
      <c r="BP70" s="57">
        <v>26</v>
      </c>
      <c r="BQ70" s="76">
        <v>596</v>
      </c>
      <c r="BR70" s="76">
        <v>581</v>
      </c>
      <c r="BS70">
        <v>546</v>
      </c>
      <c r="BT70">
        <v>546</v>
      </c>
      <c r="BU70">
        <v>534</v>
      </c>
      <c r="BV70">
        <v>69283</v>
      </c>
      <c r="BW70">
        <v>68915</v>
      </c>
      <c r="BX70">
        <v>68544</v>
      </c>
      <c r="BY70">
        <v>68217</v>
      </c>
      <c r="BZ70">
        <v>67252</v>
      </c>
      <c r="CA70">
        <v>129</v>
      </c>
      <c r="CB70">
        <v>120</v>
      </c>
      <c r="CC70">
        <v>118</v>
      </c>
      <c r="CD70">
        <v>106</v>
      </c>
      <c r="CE70">
        <v>87</v>
      </c>
      <c r="CF70">
        <v>16586</v>
      </c>
      <c r="CG70">
        <v>15482</v>
      </c>
      <c r="CH70">
        <v>13856</v>
      </c>
      <c r="CI70">
        <v>12812</v>
      </c>
      <c r="CJ70">
        <v>9533</v>
      </c>
      <c r="CK70" s="10">
        <v>22.55</v>
      </c>
      <c r="CL70" s="10">
        <v>23</v>
      </c>
      <c r="CM70" s="10">
        <v>23</v>
      </c>
      <c r="CN70" s="14">
        <v>13.85</v>
      </c>
      <c r="CO70" s="14">
        <v>14</v>
      </c>
      <c r="CP70" s="14">
        <v>14</v>
      </c>
      <c r="CQ70" s="13">
        <v>0</v>
      </c>
      <c r="CR70" s="13">
        <v>10</v>
      </c>
      <c r="CS70" s="13">
        <v>0</v>
      </c>
      <c r="CT70" s="10">
        <v>0</v>
      </c>
      <c r="CU70" s="10">
        <v>0</v>
      </c>
      <c r="CV70" s="10">
        <v>0</v>
      </c>
      <c r="CW70" s="10">
        <v>0</v>
      </c>
      <c r="CX70" s="10">
        <v>0</v>
      </c>
      <c r="CY70" s="10">
        <v>0</v>
      </c>
      <c r="CZ70" s="10">
        <v>0</v>
      </c>
      <c r="DA70" s="10">
        <v>0</v>
      </c>
      <c r="DB70" s="10">
        <v>0</v>
      </c>
      <c r="DC70" s="10">
        <v>0</v>
      </c>
      <c r="DD70" s="10">
        <v>0</v>
      </c>
      <c r="DE70" s="10">
        <v>0</v>
      </c>
      <c r="DF70" s="10">
        <v>0</v>
      </c>
      <c r="DG70" s="10">
        <v>0</v>
      </c>
      <c r="DH70" s="10">
        <v>0</v>
      </c>
      <c r="DI70" s="81">
        <v>0</v>
      </c>
      <c r="DJ70" s="81">
        <v>0</v>
      </c>
      <c r="DK70" s="81">
        <v>0</v>
      </c>
      <c r="DL70" s="81">
        <v>0</v>
      </c>
      <c r="DM70" s="81">
        <v>15</v>
      </c>
      <c r="DN70" s="12">
        <v>11</v>
      </c>
      <c r="DO70" s="12">
        <v>0</v>
      </c>
      <c r="DP70" s="12">
        <v>3</v>
      </c>
      <c r="DQ70" s="12">
        <v>0</v>
      </c>
      <c r="DR70" s="12">
        <v>0</v>
      </c>
      <c r="DS70" s="12">
        <v>0</v>
      </c>
      <c r="DT70" s="12">
        <v>13</v>
      </c>
      <c r="DU70" s="12">
        <v>1</v>
      </c>
      <c r="DV70" s="12">
        <v>4</v>
      </c>
      <c r="DW70" s="12">
        <v>1</v>
      </c>
      <c r="DX70" s="12">
        <v>0</v>
      </c>
      <c r="DY70" s="12">
        <v>2</v>
      </c>
      <c r="DZ70" s="12">
        <v>12</v>
      </c>
      <c r="EA70" s="12">
        <v>0</v>
      </c>
      <c r="EB70" s="12">
        <v>0</v>
      </c>
      <c r="EC70" s="12">
        <v>0</v>
      </c>
      <c r="ED70" s="12">
        <v>10</v>
      </c>
      <c r="EE70" s="12">
        <v>0</v>
      </c>
      <c r="EF70" s="12">
        <v>12</v>
      </c>
      <c r="EG70" s="12">
        <v>0</v>
      </c>
      <c r="EH70" s="12">
        <v>0</v>
      </c>
      <c r="EI70" s="12">
        <v>0</v>
      </c>
      <c r="EJ70" s="12">
        <v>0</v>
      </c>
      <c r="EK70" s="12">
        <v>0</v>
      </c>
      <c r="EL70" s="12">
        <v>1</v>
      </c>
      <c r="EM70" s="12">
        <v>14</v>
      </c>
      <c r="EN70" s="12">
        <v>0</v>
      </c>
      <c r="EO70" s="12">
        <v>0</v>
      </c>
      <c r="EP70" s="12">
        <v>0</v>
      </c>
      <c r="EQ70" s="12">
        <v>0</v>
      </c>
      <c r="ER70" s="12">
        <v>0</v>
      </c>
      <c r="ES70" s="13">
        <v>0</v>
      </c>
      <c r="ET70" s="13">
        <v>0</v>
      </c>
      <c r="EU70" s="13">
        <v>0</v>
      </c>
      <c r="EV70" s="10">
        <v>0</v>
      </c>
      <c r="EW70" s="10">
        <v>0</v>
      </c>
      <c r="EX70" s="10">
        <v>0</v>
      </c>
      <c r="EY70" s="10">
        <v>0</v>
      </c>
      <c r="EZ70" s="10">
        <v>0</v>
      </c>
      <c r="FA70" s="10">
        <v>0</v>
      </c>
      <c r="FB70" s="10">
        <v>0</v>
      </c>
      <c r="FC70" s="10">
        <v>0</v>
      </c>
      <c r="FD70" s="10">
        <v>0</v>
      </c>
      <c r="FE70" s="10">
        <v>0</v>
      </c>
      <c r="FF70" s="10">
        <v>0</v>
      </c>
      <c r="FG70" s="10">
        <v>0</v>
      </c>
      <c r="FH70" s="10">
        <v>0</v>
      </c>
      <c r="FI70" s="10">
        <v>0</v>
      </c>
      <c r="FJ70" s="10">
        <v>0</v>
      </c>
      <c r="FK70" s="81">
        <v>0</v>
      </c>
      <c r="FL70" s="81">
        <v>0</v>
      </c>
      <c r="FM70" s="81">
        <v>0</v>
      </c>
      <c r="FN70" s="81">
        <v>0</v>
      </c>
      <c r="FO70" s="81">
        <v>0</v>
      </c>
      <c r="FP70" s="12">
        <v>12</v>
      </c>
      <c r="FQ70" s="12">
        <v>0</v>
      </c>
      <c r="FR70" s="12">
        <v>0</v>
      </c>
      <c r="FS70" s="12">
        <v>0</v>
      </c>
      <c r="FT70" s="12">
        <v>0</v>
      </c>
      <c r="FU70" s="12">
        <v>0</v>
      </c>
      <c r="FV70" s="12">
        <v>0</v>
      </c>
      <c r="FW70" s="12">
        <v>1</v>
      </c>
      <c r="FX70" s="12">
        <v>4</v>
      </c>
      <c r="FY70" s="12">
        <v>0</v>
      </c>
      <c r="FZ70" s="12">
        <v>0</v>
      </c>
      <c r="GA70" s="12">
        <v>0</v>
      </c>
      <c r="GB70" s="12">
        <v>8</v>
      </c>
      <c r="GC70" s="12">
        <v>0</v>
      </c>
      <c r="GD70" s="12">
        <v>0</v>
      </c>
      <c r="GE70" s="12">
        <v>0</v>
      </c>
      <c r="GF70" s="12">
        <v>0</v>
      </c>
      <c r="GG70" s="12">
        <v>0</v>
      </c>
      <c r="GH70" s="12">
        <v>0</v>
      </c>
      <c r="GI70" s="12">
        <v>0</v>
      </c>
      <c r="GJ70" s="12">
        <v>0</v>
      </c>
      <c r="GK70" s="12">
        <v>0</v>
      </c>
      <c r="GL70" s="12">
        <v>0</v>
      </c>
      <c r="GM70" s="12">
        <v>0</v>
      </c>
      <c r="GN70" s="12">
        <v>0</v>
      </c>
      <c r="GO70" s="12">
        <v>3</v>
      </c>
      <c r="GP70" s="12">
        <v>0</v>
      </c>
      <c r="GQ70" s="12">
        <v>0</v>
      </c>
      <c r="GR70" s="12">
        <v>0</v>
      </c>
      <c r="GS70" s="12">
        <v>0</v>
      </c>
      <c r="GT70" s="12">
        <v>0</v>
      </c>
      <c r="GU70" s="13">
        <v>27</v>
      </c>
      <c r="GV70" s="13">
        <v>0</v>
      </c>
      <c r="GW70" s="13">
        <v>0</v>
      </c>
      <c r="GX70" s="13">
        <v>0</v>
      </c>
      <c r="GY70" s="10">
        <v>0</v>
      </c>
      <c r="GZ70" s="10">
        <v>0</v>
      </c>
      <c r="HA70" s="10">
        <v>3</v>
      </c>
      <c r="HB70" s="10">
        <v>0</v>
      </c>
      <c r="HC70" s="10">
        <v>0</v>
      </c>
      <c r="HD70" s="10">
        <v>0</v>
      </c>
      <c r="HE70" s="10">
        <v>0</v>
      </c>
      <c r="HF70" s="10">
        <v>0</v>
      </c>
      <c r="HG70" s="10">
        <v>0</v>
      </c>
      <c r="HH70" s="10">
        <v>0</v>
      </c>
      <c r="HI70" s="10">
        <v>0</v>
      </c>
      <c r="HJ70" s="10">
        <v>0</v>
      </c>
      <c r="HK70" s="10">
        <v>0</v>
      </c>
      <c r="HL70" s="10">
        <v>0</v>
      </c>
      <c r="HM70" s="10">
        <v>0</v>
      </c>
      <c r="HN70" s="81">
        <v>0</v>
      </c>
      <c r="HO70" s="81">
        <v>0</v>
      </c>
      <c r="HP70" s="81">
        <v>0</v>
      </c>
      <c r="HQ70" s="81">
        <v>0</v>
      </c>
      <c r="HR70" s="81">
        <v>0</v>
      </c>
      <c r="HS70" s="12">
        <v>1</v>
      </c>
      <c r="HT70" s="12">
        <v>0</v>
      </c>
      <c r="HU70" s="12">
        <v>0</v>
      </c>
      <c r="HV70" s="12">
        <v>0</v>
      </c>
      <c r="HW70" s="12">
        <v>0</v>
      </c>
      <c r="HX70" s="12">
        <v>0</v>
      </c>
      <c r="HY70" s="12">
        <v>0</v>
      </c>
      <c r="HZ70" s="12">
        <v>0</v>
      </c>
      <c r="IA70" s="12">
        <v>0</v>
      </c>
      <c r="IB70" s="12">
        <v>1</v>
      </c>
      <c r="IC70" s="12">
        <v>0</v>
      </c>
      <c r="ID70" s="12">
        <v>0</v>
      </c>
      <c r="IE70" s="12">
        <v>2</v>
      </c>
      <c r="IF70" s="12">
        <v>0</v>
      </c>
      <c r="IG70" s="12">
        <v>0</v>
      </c>
      <c r="IH70" s="12">
        <v>0</v>
      </c>
      <c r="II70" s="12">
        <v>0</v>
      </c>
      <c r="IJ70" s="12">
        <v>0</v>
      </c>
      <c r="IK70" s="12">
        <v>17</v>
      </c>
      <c r="IL70" s="12">
        <v>0</v>
      </c>
      <c r="IM70" s="12">
        <v>0</v>
      </c>
      <c r="IN70" s="12">
        <v>0</v>
      </c>
      <c r="IO70" s="12">
        <v>0</v>
      </c>
      <c r="IP70" s="12">
        <v>0</v>
      </c>
      <c r="IQ70" s="12">
        <v>0</v>
      </c>
      <c r="IR70" s="12">
        <v>10</v>
      </c>
      <c r="IS70" s="12">
        <v>0</v>
      </c>
      <c r="IT70" s="12">
        <v>0</v>
      </c>
      <c r="IU70" s="12">
        <v>0</v>
      </c>
      <c r="IV70" s="12">
        <v>7</v>
      </c>
      <c r="IW70" s="12">
        <v>0</v>
      </c>
      <c r="IX70" s="14">
        <v>0</v>
      </c>
      <c r="IY70" s="14">
        <v>2000</v>
      </c>
      <c r="IZ70" s="14">
        <v>1500</v>
      </c>
      <c r="JA70" s="85">
        <v>0</v>
      </c>
      <c r="JB70" s="85">
        <v>0</v>
      </c>
      <c r="JC70" s="85">
        <v>0</v>
      </c>
      <c r="JD70" s="12">
        <v>13</v>
      </c>
      <c r="JE70" s="12">
        <v>11</v>
      </c>
      <c r="JF70" s="12">
        <v>13</v>
      </c>
      <c r="JG70" s="12">
        <v>8</v>
      </c>
      <c r="JH70" s="12">
        <v>13</v>
      </c>
      <c r="JI70" s="12">
        <v>10</v>
      </c>
      <c r="JJ70" s="13" t="s">
        <v>619</v>
      </c>
      <c r="JK70" s="13" t="s">
        <v>620</v>
      </c>
      <c r="JL70" s="13" t="s">
        <v>296</v>
      </c>
      <c r="JM70" s="89"/>
      <c r="JN70" s="89"/>
      <c r="JO70" s="89" t="s">
        <v>297</v>
      </c>
      <c r="JP70" s="89"/>
      <c r="JQ70" s="89"/>
      <c r="JR70" s="89" t="s">
        <v>296</v>
      </c>
      <c r="JS70" s="89" t="s">
        <v>619</v>
      </c>
      <c r="JT70" s="89" t="s">
        <v>620</v>
      </c>
      <c r="JU70" s="89" t="s">
        <v>296</v>
      </c>
      <c r="JV70" s="89"/>
      <c r="JW70" s="89"/>
      <c r="JX70" s="89" t="s">
        <v>297</v>
      </c>
      <c r="JY70" s="12" t="s">
        <v>34</v>
      </c>
      <c r="JZ70" s="12" t="s">
        <v>34</v>
      </c>
      <c r="KA70" s="12" t="s">
        <v>34</v>
      </c>
      <c r="KB70" s="12" t="s">
        <v>34</v>
      </c>
      <c r="KC70" s="12" t="s">
        <v>34</v>
      </c>
      <c r="KD70" s="12" t="s">
        <v>34</v>
      </c>
      <c r="KE70" s="12" t="s">
        <v>34</v>
      </c>
      <c r="KF70" s="12"/>
      <c r="KG70" s="12" t="s">
        <v>34</v>
      </c>
      <c r="KH70" s="12" t="s">
        <v>34</v>
      </c>
      <c r="KI70" s="12" t="s">
        <v>34</v>
      </c>
      <c r="KJ70" s="12" t="s">
        <v>34</v>
      </c>
      <c r="KK70" s="12" t="s">
        <v>34</v>
      </c>
      <c r="KL70" s="12" t="s">
        <v>34</v>
      </c>
      <c r="KM70" s="12" t="s">
        <v>34</v>
      </c>
      <c r="KN70" s="12" t="s">
        <v>619</v>
      </c>
      <c r="KO70" s="12" t="s">
        <v>34</v>
      </c>
      <c r="KP70" s="12" t="s">
        <v>34</v>
      </c>
      <c r="KQ70" s="12" t="s">
        <v>619</v>
      </c>
      <c r="KR70" s="12" t="s">
        <v>619</v>
      </c>
      <c r="KS70" s="12" t="s">
        <v>34</v>
      </c>
      <c r="KT70" s="12" t="s">
        <v>34</v>
      </c>
      <c r="KU70" s="12" t="s">
        <v>34</v>
      </c>
      <c r="KV70" s="12" t="s">
        <v>34</v>
      </c>
      <c r="KW70" s="12" t="s">
        <v>34</v>
      </c>
      <c r="KX70" s="12" t="s">
        <v>34</v>
      </c>
      <c r="KY70" s="12" t="s">
        <v>34</v>
      </c>
      <c r="KZ70" s="12" t="s">
        <v>34</v>
      </c>
      <c r="LA70" s="12" t="s">
        <v>34</v>
      </c>
      <c r="LB70" s="12" t="s">
        <v>34</v>
      </c>
      <c r="LC70" s="12" t="s">
        <v>34</v>
      </c>
      <c r="LD70" s="12" t="s">
        <v>34</v>
      </c>
      <c r="LE70" s="12" t="s">
        <v>34</v>
      </c>
      <c r="LF70" s="12" t="s">
        <v>34</v>
      </c>
      <c r="LG70" s="12" t="s">
        <v>34</v>
      </c>
      <c r="LH70" s="12" t="s">
        <v>34</v>
      </c>
      <c r="LI70" s="12" t="s">
        <v>34</v>
      </c>
      <c r="LJ70" s="12" t="s">
        <v>34</v>
      </c>
      <c r="LK70" s="12" t="s">
        <v>34</v>
      </c>
      <c r="LL70" s="13" t="s">
        <v>34</v>
      </c>
      <c r="LM70" s="13" t="s">
        <v>34</v>
      </c>
      <c r="LN70" s="13" t="s">
        <v>619</v>
      </c>
      <c r="LO70" s="13" t="s">
        <v>34</v>
      </c>
      <c r="LP70" s="90" t="s">
        <v>619</v>
      </c>
      <c r="LQ70" s="13" t="s">
        <v>34</v>
      </c>
      <c r="LR70" s="13" t="s">
        <v>34</v>
      </c>
      <c r="LS70" s="13"/>
      <c r="LT70" s="13" t="s">
        <v>34</v>
      </c>
      <c r="LU70" s="13" t="s">
        <v>34</v>
      </c>
      <c r="LV70" s="13" t="s">
        <v>34</v>
      </c>
      <c r="LW70" s="13" t="s">
        <v>34</v>
      </c>
      <c r="LX70" s="13" t="s">
        <v>34</v>
      </c>
      <c r="LY70" s="13" t="s">
        <v>34</v>
      </c>
      <c r="LZ70" s="13" t="s">
        <v>34</v>
      </c>
      <c r="MA70" s="13" t="s">
        <v>34</v>
      </c>
      <c r="MB70" s="13" t="s">
        <v>34</v>
      </c>
      <c r="MC70" s="13" t="s">
        <v>34</v>
      </c>
      <c r="MD70" s="13" t="s">
        <v>619</v>
      </c>
      <c r="ME70" s="13" t="s">
        <v>34</v>
      </c>
      <c r="MF70" s="13" t="s">
        <v>34</v>
      </c>
      <c r="MG70" s="13" t="s">
        <v>34</v>
      </c>
      <c r="MH70" s="13" t="s">
        <v>34</v>
      </c>
      <c r="MI70" s="13" t="s">
        <v>34</v>
      </c>
      <c r="MJ70" s="13" t="s">
        <v>34</v>
      </c>
      <c r="MK70" s="13" t="s">
        <v>34</v>
      </c>
      <c r="ML70" s="13" t="s">
        <v>34</v>
      </c>
      <c r="MM70" s="13" t="s">
        <v>34</v>
      </c>
      <c r="MN70" s="13" t="s">
        <v>34</v>
      </c>
      <c r="MO70" s="13" t="s">
        <v>34</v>
      </c>
      <c r="MP70" s="13" t="s">
        <v>34</v>
      </c>
      <c r="MQ70" s="13" t="s">
        <v>34</v>
      </c>
      <c r="MR70" s="13" t="s">
        <v>34</v>
      </c>
      <c r="MS70" s="13" t="s">
        <v>34</v>
      </c>
      <c r="MT70" s="13" t="s">
        <v>34</v>
      </c>
      <c r="MU70" s="13" t="s">
        <v>34</v>
      </c>
      <c r="MV70" s="13" t="s">
        <v>34</v>
      </c>
      <c r="MW70" s="13" t="s">
        <v>34</v>
      </c>
      <c r="MX70" s="13" t="s">
        <v>34</v>
      </c>
      <c r="MY70" s="28" t="s">
        <v>296</v>
      </c>
      <c r="MZ70" s="28" t="s">
        <v>297</v>
      </c>
      <c r="NA70" s="28" t="s">
        <v>297</v>
      </c>
      <c r="NB70" s="28" t="s">
        <v>296</v>
      </c>
      <c r="NC70" s="28" t="s">
        <v>296</v>
      </c>
      <c r="ND70" s="28" t="s">
        <v>297</v>
      </c>
      <c r="NE70" s="28" t="s">
        <v>297</v>
      </c>
      <c r="NF70" s="28" t="s">
        <v>296</v>
      </c>
      <c r="NG70" s="28" t="s">
        <v>297</v>
      </c>
      <c r="NH70" s="28" t="s">
        <v>297</v>
      </c>
      <c r="NI70" s="177" t="s">
        <v>296</v>
      </c>
      <c r="NJ70" s="177" t="s">
        <v>297</v>
      </c>
      <c r="NK70" s="177" t="s">
        <v>297</v>
      </c>
      <c r="NL70" s="177" t="s">
        <v>297</v>
      </c>
      <c r="NM70" s="177" t="s">
        <v>296</v>
      </c>
      <c r="NN70" s="177" t="s">
        <v>296</v>
      </c>
      <c r="NO70" s="177" t="s">
        <v>297</v>
      </c>
      <c r="NP70" s="177" t="s">
        <v>296</v>
      </c>
      <c r="NQ70" s="177" t="s">
        <v>296</v>
      </c>
      <c r="NR70" s="12" t="s">
        <v>34</v>
      </c>
      <c r="NS70" s="13" t="s">
        <v>34</v>
      </c>
    </row>
    <row r="71" spans="1:383" x14ac:dyDescent="0.25">
      <c r="A71" s="8" t="s">
        <v>182</v>
      </c>
      <c r="B71" s="9" t="s">
        <v>183</v>
      </c>
      <c r="C71" s="9">
        <v>84</v>
      </c>
      <c r="D71" s="9" t="s">
        <v>33</v>
      </c>
      <c r="E71" s="10">
        <v>240</v>
      </c>
      <c r="F71" s="10">
        <v>247</v>
      </c>
      <c r="G71" s="10">
        <v>264</v>
      </c>
      <c r="H71" s="10">
        <v>261</v>
      </c>
      <c r="I71" s="10">
        <v>162</v>
      </c>
      <c r="J71" s="11">
        <v>1294</v>
      </c>
      <c r="K71" s="14">
        <v>1317</v>
      </c>
      <c r="L71" s="14">
        <v>1490</v>
      </c>
      <c r="M71" s="14">
        <v>1384</v>
      </c>
      <c r="N71" s="14">
        <v>791</v>
      </c>
      <c r="O71" s="13">
        <v>23660</v>
      </c>
      <c r="P71" s="13">
        <v>26355</v>
      </c>
      <c r="Q71" s="13">
        <v>28744</v>
      </c>
      <c r="R71" s="13">
        <v>28623</v>
      </c>
      <c r="S71" s="13">
        <v>14301</v>
      </c>
      <c r="T71" s="12">
        <v>2646</v>
      </c>
      <c r="U71" s="12">
        <v>2753</v>
      </c>
      <c r="V71" s="12">
        <v>2891</v>
      </c>
      <c r="W71" s="12">
        <v>2923</v>
      </c>
      <c r="X71" s="12">
        <v>1364</v>
      </c>
      <c r="Y71" s="12">
        <v>11</v>
      </c>
      <c r="Z71" s="12">
        <v>11.5</v>
      </c>
      <c r="AA71" s="12">
        <v>8</v>
      </c>
      <c r="AB71" s="13">
        <v>11</v>
      </c>
      <c r="AC71" s="13">
        <v>11.5</v>
      </c>
      <c r="AD71" s="13">
        <v>8</v>
      </c>
      <c r="AE71" s="35" t="s">
        <v>259</v>
      </c>
      <c r="AF71" s="35" t="s">
        <v>259</v>
      </c>
      <c r="AG71" s="35" t="s">
        <v>259</v>
      </c>
      <c r="AH71" s="38">
        <v>1</v>
      </c>
      <c r="AI71" s="38">
        <v>1</v>
      </c>
      <c r="AJ71" s="38">
        <v>1</v>
      </c>
      <c r="AK71" s="45" t="s">
        <v>288</v>
      </c>
      <c r="AL71" s="45" t="s">
        <v>34</v>
      </c>
      <c r="AM71" s="45" t="s">
        <v>34</v>
      </c>
      <c r="AN71" s="45" t="s">
        <v>293</v>
      </c>
      <c r="AO71" s="45" t="s">
        <v>34</v>
      </c>
      <c r="AP71" s="45" t="s">
        <v>292</v>
      </c>
      <c r="AQ71" s="53" t="s">
        <v>297</v>
      </c>
      <c r="AR71" s="56">
        <v>1050</v>
      </c>
      <c r="AS71" s="57">
        <v>785</v>
      </c>
      <c r="AT71" s="56">
        <v>1090</v>
      </c>
      <c r="AU71" s="57">
        <v>137375</v>
      </c>
      <c r="AV71" s="57">
        <v>56775</v>
      </c>
      <c r="AW71" s="57">
        <v>104638</v>
      </c>
      <c r="AX71" s="57">
        <v>459</v>
      </c>
      <c r="AY71" s="57">
        <v>610</v>
      </c>
      <c r="AZ71" s="57">
        <v>735</v>
      </c>
      <c r="BA71" s="57">
        <v>7256</v>
      </c>
      <c r="BB71" s="57">
        <v>55101</v>
      </c>
      <c r="BC71" s="57">
        <v>53213</v>
      </c>
      <c r="BD71" s="57">
        <v>3653</v>
      </c>
      <c r="BE71" s="57">
        <v>24405</v>
      </c>
      <c r="BF71" s="57">
        <v>21584</v>
      </c>
      <c r="BG71" s="57">
        <v>5829</v>
      </c>
      <c r="BH71" s="57">
        <v>45189</v>
      </c>
      <c r="BI71" s="57">
        <v>46077</v>
      </c>
      <c r="BJ71" s="57" t="s">
        <v>297</v>
      </c>
      <c r="BK71" s="57">
        <v>39</v>
      </c>
      <c r="BL71" s="57">
        <v>0</v>
      </c>
      <c r="BM71" s="57">
        <v>2</v>
      </c>
      <c r="BN71" s="57">
        <v>1500</v>
      </c>
      <c r="BO71" s="57">
        <v>600</v>
      </c>
      <c r="BP71" s="57">
        <v>1200</v>
      </c>
      <c r="BQ71" s="76">
        <v>864</v>
      </c>
      <c r="BR71" s="76">
        <v>870</v>
      </c>
      <c r="BS71">
        <v>865</v>
      </c>
      <c r="BT71">
        <v>865</v>
      </c>
      <c r="BU71">
        <v>865</v>
      </c>
      <c r="BV71">
        <v>167300</v>
      </c>
      <c r="BW71">
        <v>168384</v>
      </c>
      <c r="BX71">
        <v>169758</v>
      </c>
      <c r="BY71">
        <v>170454</v>
      </c>
      <c r="BZ71">
        <v>168306</v>
      </c>
      <c r="CA71">
        <v>270</v>
      </c>
      <c r="CB71">
        <v>275</v>
      </c>
      <c r="CC71">
        <v>295</v>
      </c>
      <c r="CD71">
        <v>280</v>
      </c>
      <c r="CE71">
        <v>170</v>
      </c>
      <c r="CF71">
        <v>26306</v>
      </c>
      <c r="CG71">
        <v>29108</v>
      </c>
      <c r="CH71">
        <v>31635</v>
      </c>
      <c r="CI71">
        <v>31546</v>
      </c>
      <c r="CJ71">
        <v>15665</v>
      </c>
      <c r="CK71" s="10">
        <v>30</v>
      </c>
      <c r="CL71" s="10">
        <v>30</v>
      </c>
      <c r="CM71" s="10">
        <v>30</v>
      </c>
      <c r="CN71" s="14">
        <v>19</v>
      </c>
      <c r="CO71" s="14">
        <v>20</v>
      </c>
      <c r="CP71" s="14">
        <v>19</v>
      </c>
      <c r="CQ71" s="13">
        <v>128</v>
      </c>
      <c r="CR71" s="13">
        <v>59</v>
      </c>
      <c r="CS71" s="13">
        <v>15</v>
      </c>
      <c r="CT71" s="10">
        <v>0</v>
      </c>
      <c r="CU71" s="10">
        <v>1</v>
      </c>
      <c r="CV71" s="10">
        <v>26</v>
      </c>
      <c r="CW71" s="10">
        <v>21</v>
      </c>
      <c r="CX71" s="10">
        <v>6</v>
      </c>
      <c r="CY71" s="10">
        <v>0</v>
      </c>
      <c r="CZ71" s="10">
        <v>0</v>
      </c>
      <c r="DA71" s="10">
        <v>0</v>
      </c>
      <c r="DB71" s="10">
        <v>10</v>
      </c>
      <c r="DC71" s="10">
        <v>0</v>
      </c>
      <c r="DD71" s="10">
        <v>15</v>
      </c>
      <c r="DE71" s="10">
        <v>0</v>
      </c>
      <c r="DF71" s="10">
        <v>4</v>
      </c>
      <c r="DG71" s="10">
        <v>1</v>
      </c>
      <c r="DH71" s="10">
        <v>14</v>
      </c>
      <c r="DI71" s="81">
        <v>2</v>
      </c>
      <c r="DJ71" s="81">
        <v>4</v>
      </c>
      <c r="DK71" s="81">
        <v>32</v>
      </c>
      <c r="DL71" s="81">
        <v>2</v>
      </c>
      <c r="DM71" s="81">
        <v>89</v>
      </c>
      <c r="DN71" s="12">
        <v>60</v>
      </c>
      <c r="DO71" s="12">
        <v>4</v>
      </c>
      <c r="DP71" s="12">
        <v>74</v>
      </c>
      <c r="DQ71" s="12">
        <v>29</v>
      </c>
      <c r="DR71" s="12">
        <v>4</v>
      </c>
      <c r="DS71" s="12">
        <v>0</v>
      </c>
      <c r="DT71" s="12">
        <v>8</v>
      </c>
      <c r="DU71" s="12">
        <v>0</v>
      </c>
      <c r="DV71" s="12">
        <v>77</v>
      </c>
      <c r="DW71" s="12">
        <v>68</v>
      </c>
      <c r="DX71" s="12">
        <v>7</v>
      </c>
      <c r="DY71" s="12">
        <v>105</v>
      </c>
      <c r="DZ71" s="12">
        <v>14</v>
      </c>
      <c r="EA71" s="12">
        <v>0</v>
      </c>
      <c r="EB71" s="12">
        <v>50</v>
      </c>
      <c r="EC71" s="12">
        <v>0</v>
      </c>
      <c r="ED71" s="12">
        <v>51</v>
      </c>
      <c r="EE71" s="12">
        <v>51</v>
      </c>
      <c r="EF71" s="12">
        <v>12</v>
      </c>
      <c r="EG71" s="12">
        <v>0</v>
      </c>
      <c r="EH71" s="12">
        <v>4</v>
      </c>
      <c r="EI71" s="12">
        <v>22</v>
      </c>
      <c r="EJ71" s="12">
        <v>12</v>
      </c>
      <c r="EK71" s="12">
        <v>0</v>
      </c>
      <c r="EL71" s="12">
        <v>37</v>
      </c>
      <c r="EM71" s="12">
        <v>42</v>
      </c>
      <c r="EN71" s="12">
        <v>3</v>
      </c>
      <c r="EO71" s="12">
        <v>29</v>
      </c>
      <c r="EP71" s="12">
        <v>4</v>
      </c>
      <c r="EQ71" s="12">
        <v>48</v>
      </c>
      <c r="ER71" s="12">
        <v>2</v>
      </c>
      <c r="ES71" s="13">
        <v>96</v>
      </c>
      <c r="ET71" s="13">
        <v>52</v>
      </c>
      <c r="EU71" s="13">
        <v>0</v>
      </c>
      <c r="EV71" s="10">
        <v>0</v>
      </c>
      <c r="EW71" s="10">
        <v>0</v>
      </c>
      <c r="EX71" s="10">
        <v>29</v>
      </c>
      <c r="EY71" s="10">
        <v>0</v>
      </c>
      <c r="EZ71" s="10">
        <v>2</v>
      </c>
      <c r="FA71" s="10">
        <v>0</v>
      </c>
      <c r="FB71" s="10">
        <v>0</v>
      </c>
      <c r="FC71" s="10">
        <v>0</v>
      </c>
      <c r="FD71" s="10">
        <v>8</v>
      </c>
      <c r="FE71" s="10">
        <v>0</v>
      </c>
      <c r="FF71" s="10">
        <v>0</v>
      </c>
      <c r="FG71" s="10">
        <v>0</v>
      </c>
      <c r="FH71" s="10">
        <v>0</v>
      </c>
      <c r="FI71" s="10">
        <v>0</v>
      </c>
      <c r="FJ71" s="10">
        <v>0</v>
      </c>
      <c r="FK71" s="81">
        <v>5</v>
      </c>
      <c r="FL71" s="81">
        <v>64</v>
      </c>
      <c r="FM71" s="81">
        <v>14</v>
      </c>
      <c r="FN71" s="81">
        <v>0</v>
      </c>
      <c r="FO71" s="81">
        <v>39</v>
      </c>
      <c r="FP71" s="12">
        <v>22</v>
      </c>
      <c r="FQ71" s="12">
        <v>4</v>
      </c>
      <c r="FR71" s="12">
        <v>80</v>
      </c>
      <c r="FS71" s="12">
        <v>20</v>
      </c>
      <c r="FT71" s="12">
        <v>4</v>
      </c>
      <c r="FU71" s="12">
        <v>0</v>
      </c>
      <c r="FV71" s="12">
        <v>20</v>
      </c>
      <c r="FW71" s="12">
        <v>0</v>
      </c>
      <c r="FX71" s="12">
        <v>38</v>
      </c>
      <c r="FY71" s="12">
        <v>55</v>
      </c>
      <c r="FZ71" s="12">
        <v>0</v>
      </c>
      <c r="GA71" s="12">
        <v>68</v>
      </c>
      <c r="GB71" s="12">
        <v>18</v>
      </c>
      <c r="GC71" s="12">
        <v>0</v>
      </c>
      <c r="GD71" s="12">
        <v>29</v>
      </c>
      <c r="GE71" s="12">
        <v>0</v>
      </c>
      <c r="GF71" s="12">
        <v>26</v>
      </c>
      <c r="GG71" s="12">
        <v>64</v>
      </c>
      <c r="GH71" s="12">
        <v>6</v>
      </c>
      <c r="GI71" s="12">
        <v>0</v>
      </c>
      <c r="GJ71" s="12">
        <v>4</v>
      </c>
      <c r="GK71" s="12">
        <v>9</v>
      </c>
      <c r="GL71" s="12">
        <v>12</v>
      </c>
      <c r="GM71" s="12">
        <v>0</v>
      </c>
      <c r="GN71" s="12">
        <v>38</v>
      </c>
      <c r="GO71" s="12">
        <v>37</v>
      </c>
      <c r="GP71" s="12">
        <v>3</v>
      </c>
      <c r="GQ71" s="12">
        <v>14</v>
      </c>
      <c r="GR71" s="12">
        <v>0</v>
      </c>
      <c r="GS71" s="12">
        <v>29</v>
      </c>
      <c r="GT71" s="12">
        <v>0</v>
      </c>
      <c r="GU71" s="13">
        <v>785</v>
      </c>
      <c r="GV71" s="13">
        <v>166</v>
      </c>
      <c r="GW71" s="13">
        <v>36</v>
      </c>
      <c r="GX71" s="13">
        <v>0</v>
      </c>
      <c r="GY71" s="10">
        <v>0</v>
      </c>
      <c r="GZ71" s="10">
        <v>0</v>
      </c>
      <c r="HA71" s="10">
        <v>46</v>
      </c>
      <c r="HB71" s="10">
        <v>12</v>
      </c>
      <c r="HC71" s="10">
        <v>4</v>
      </c>
      <c r="HD71" s="10">
        <v>0</v>
      </c>
      <c r="HE71" s="10">
        <v>0</v>
      </c>
      <c r="HF71" s="10">
        <v>0</v>
      </c>
      <c r="HG71" s="10">
        <v>0</v>
      </c>
      <c r="HH71" s="10">
        <v>0</v>
      </c>
      <c r="HI71" s="10">
        <v>0</v>
      </c>
      <c r="HJ71" s="10">
        <v>0</v>
      </c>
      <c r="HK71" s="10">
        <v>1</v>
      </c>
      <c r="HL71" s="10">
        <v>0</v>
      </c>
      <c r="HM71" s="10">
        <v>8</v>
      </c>
      <c r="HN71" s="81">
        <v>0</v>
      </c>
      <c r="HO71" s="81">
        <v>16</v>
      </c>
      <c r="HP71" s="81">
        <v>15</v>
      </c>
      <c r="HQ71" s="81">
        <v>0</v>
      </c>
      <c r="HR71" s="81">
        <v>42</v>
      </c>
      <c r="HS71" s="12">
        <v>69</v>
      </c>
      <c r="HT71" s="12">
        <v>0</v>
      </c>
      <c r="HU71" s="12">
        <v>72</v>
      </c>
      <c r="HV71" s="12">
        <v>54</v>
      </c>
      <c r="HW71" s="12">
        <v>45</v>
      </c>
      <c r="HX71" s="12">
        <v>1</v>
      </c>
      <c r="HY71" s="12">
        <v>27</v>
      </c>
      <c r="HZ71" s="12">
        <v>0</v>
      </c>
      <c r="IA71" s="12">
        <v>24</v>
      </c>
      <c r="IB71" s="12">
        <v>70</v>
      </c>
      <c r="IC71" s="12">
        <v>1</v>
      </c>
      <c r="ID71" s="12">
        <v>69</v>
      </c>
      <c r="IE71" s="12">
        <v>52</v>
      </c>
      <c r="IF71" s="12">
        <v>0</v>
      </c>
      <c r="IG71" s="12">
        <v>39</v>
      </c>
      <c r="IH71" s="12">
        <v>7</v>
      </c>
      <c r="II71" s="12">
        <v>23</v>
      </c>
      <c r="IJ71" s="12">
        <v>14</v>
      </c>
      <c r="IK71" s="12">
        <v>71</v>
      </c>
      <c r="IL71" s="12">
        <v>0</v>
      </c>
      <c r="IM71" s="12">
        <v>0</v>
      </c>
      <c r="IN71" s="12">
        <v>45</v>
      </c>
      <c r="IO71" s="12">
        <v>24</v>
      </c>
      <c r="IP71" s="12">
        <v>0</v>
      </c>
      <c r="IQ71" s="12">
        <v>58</v>
      </c>
      <c r="IR71" s="12">
        <v>128</v>
      </c>
      <c r="IS71" s="12">
        <v>0</v>
      </c>
      <c r="IT71" s="12">
        <v>54</v>
      </c>
      <c r="IU71" s="12">
        <v>8</v>
      </c>
      <c r="IV71" s="12">
        <v>79</v>
      </c>
      <c r="IW71" s="12">
        <v>1</v>
      </c>
      <c r="IX71" s="14">
        <v>11000</v>
      </c>
      <c r="IY71" s="14">
        <v>5000</v>
      </c>
      <c r="IZ71" s="14">
        <v>12000</v>
      </c>
      <c r="JA71" s="85" t="s">
        <v>604</v>
      </c>
      <c r="JB71" s="85" t="s">
        <v>602</v>
      </c>
      <c r="JC71" s="85">
        <v>1</v>
      </c>
      <c r="JD71" s="12">
        <v>35</v>
      </c>
      <c r="JE71" s="12">
        <v>15</v>
      </c>
      <c r="JF71" s="12">
        <v>35</v>
      </c>
      <c r="JG71" s="12">
        <v>10</v>
      </c>
      <c r="JH71" s="12">
        <v>35</v>
      </c>
      <c r="JI71" s="12">
        <v>10</v>
      </c>
      <c r="JJ71" s="13" t="s">
        <v>619</v>
      </c>
      <c r="JK71" s="13" t="s">
        <v>619</v>
      </c>
      <c r="JL71" s="13" t="s">
        <v>296</v>
      </c>
      <c r="JM71" s="89"/>
      <c r="JN71" s="89"/>
      <c r="JO71" s="89" t="s">
        <v>296</v>
      </c>
      <c r="JP71" s="89"/>
      <c r="JQ71" s="89"/>
      <c r="JR71" s="89" t="s">
        <v>296</v>
      </c>
      <c r="JS71" s="89" t="s">
        <v>620</v>
      </c>
      <c r="JT71" s="89" t="s">
        <v>620</v>
      </c>
      <c r="JU71" s="89" t="s">
        <v>296</v>
      </c>
      <c r="JV71" s="89"/>
      <c r="JW71" s="89"/>
      <c r="JX71" s="89" t="s">
        <v>296</v>
      </c>
      <c r="JY71" s="12" t="s">
        <v>34</v>
      </c>
      <c r="JZ71" s="12" t="s">
        <v>34</v>
      </c>
      <c r="KA71" s="12" t="s">
        <v>34</v>
      </c>
      <c r="KB71" s="12" t="s">
        <v>34</v>
      </c>
      <c r="KC71" s="12" t="s">
        <v>619</v>
      </c>
      <c r="KD71" s="12" t="s">
        <v>619</v>
      </c>
      <c r="KE71" s="12" t="s">
        <v>34</v>
      </c>
      <c r="KF71" s="12"/>
      <c r="KG71" s="12" t="s">
        <v>34</v>
      </c>
      <c r="KH71" s="12" t="s">
        <v>34</v>
      </c>
      <c r="KI71" s="12" t="s">
        <v>34</v>
      </c>
      <c r="KJ71" s="12" t="s">
        <v>619</v>
      </c>
      <c r="KK71" s="12" t="s">
        <v>34</v>
      </c>
      <c r="KL71" s="12" t="s">
        <v>34</v>
      </c>
      <c r="KM71" s="12" t="s">
        <v>34</v>
      </c>
      <c r="KN71" s="12" t="s">
        <v>619</v>
      </c>
      <c r="KO71" s="12" t="s">
        <v>619</v>
      </c>
      <c r="KP71" s="12" t="s">
        <v>619</v>
      </c>
      <c r="KQ71" s="12" t="s">
        <v>619</v>
      </c>
      <c r="KR71" s="12" t="s">
        <v>619</v>
      </c>
      <c r="KS71" s="12" t="s">
        <v>34</v>
      </c>
      <c r="KT71" s="12" t="s">
        <v>34</v>
      </c>
      <c r="KU71" s="12" t="s">
        <v>34</v>
      </c>
      <c r="KV71" s="12" t="s">
        <v>34</v>
      </c>
      <c r="KW71" s="12" t="s">
        <v>34</v>
      </c>
      <c r="KX71" s="12" t="s">
        <v>34</v>
      </c>
      <c r="KY71" s="12" t="s">
        <v>619</v>
      </c>
      <c r="KZ71" s="12" t="s">
        <v>619</v>
      </c>
      <c r="LA71" s="12" t="s">
        <v>619</v>
      </c>
      <c r="LB71" s="12" t="s">
        <v>619</v>
      </c>
      <c r="LC71" s="12" t="s">
        <v>34</v>
      </c>
      <c r="LD71" s="12" t="s">
        <v>619</v>
      </c>
      <c r="LE71" s="12" t="s">
        <v>34</v>
      </c>
      <c r="LF71" s="12" t="s">
        <v>34</v>
      </c>
      <c r="LG71" s="12" t="s">
        <v>34</v>
      </c>
      <c r="LH71" s="12" t="s">
        <v>34</v>
      </c>
      <c r="LI71" s="12" t="s">
        <v>619</v>
      </c>
      <c r="LJ71" s="12" t="s">
        <v>619</v>
      </c>
      <c r="LK71" s="12" t="s">
        <v>619</v>
      </c>
      <c r="LL71" s="13" t="s">
        <v>619</v>
      </c>
      <c r="LM71" s="13" t="s">
        <v>34</v>
      </c>
      <c r="LN71" s="13" t="s">
        <v>619</v>
      </c>
      <c r="LO71" s="13" t="s">
        <v>34</v>
      </c>
      <c r="LP71" s="90" t="s">
        <v>619</v>
      </c>
      <c r="LQ71" s="13" t="s">
        <v>34</v>
      </c>
      <c r="LR71" s="13" t="s">
        <v>34</v>
      </c>
      <c r="LS71" s="13"/>
      <c r="LT71" s="13" t="s">
        <v>34</v>
      </c>
      <c r="LU71" s="13" t="s">
        <v>34</v>
      </c>
      <c r="LV71" s="13" t="s">
        <v>34</v>
      </c>
      <c r="LW71" s="13" t="s">
        <v>34</v>
      </c>
      <c r="LX71" s="13" t="s">
        <v>34</v>
      </c>
      <c r="LY71" s="13" t="s">
        <v>34</v>
      </c>
      <c r="LZ71" s="13" t="s">
        <v>619</v>
      </c>
      <c r="MA71" s="13" t="s">
        <v>619</v>
      </c>
      <c r="MB71" s="13" t="s">
        <v>619</v>
      </c>
      <c r="MC71" s="13" t="s">
        <v>619</v>
      </c>
      <c r="MD71" s="13" t="s">
        <v>619</v>
      </c>
      <c r="ME71" s="13" t="s">
        <v>619</v>
      </c>
      <c r="MF71" s="13" t="s">
        <v>34</v>
      </c>
      <c r="MG71" s="13" t="s">
        <v>34</v>
      </c>
      <c r="MH71" s="13" t="s">
        <v>34</v>
      </c>
      <c r="MI71" s="13" t="s">
        <v>34</v>
      </c>
      <c r="MJ71" s="13" t="s">
        <v>34</v>
      </c>
      <c r="MK71" s="13" t="s">
        <v>34</v>
      </c>
      <c r="ML71" s="13" t="s">
        <v>619</v>
      </c>
      <c r="MM71" s="13" t="s">
        <v>619</v>
      </c>
      <c r="MN71" s="13" t="s">
        <v>619</v>
      </c>
      <c r="MO71" s="13" t="s">
        <v>619</v>
      </c>
      <c r="MP71" s="13" t="s">
        <v>34</v>
      </c>
      <c r="MQ71" s="13" t="s">
        <v>619</v>
      </c>
      <c r="MR71" s="13" t="s">
        <v>619</v>
      </c>
      <c r="MS71" s="13" t="s">
        <v>34</v>
      </c>
      <c r="MT71" s="13" t="s">
        <v>34</v>
      </c>
      <c r="MU71" s="13" t="s">
        <v>34</v>
      </c>
      <c r="MV71" s="13" t="s">
        <v>619</v>
      </c>
      <c r="MW71" s="13" t="s">
        <v>34</v>
      </c>
      <c r="MX71" s="13" t="s">
        <v>619</v>
      </c>
      <c r="MY71" s="28" t="s">
        <v>296</v>
      </c>
      <c r="MZ71" s="28" t="s">
        <v>296</v>
      </c>
      <c r="NA71" s="28" t="s">
        <v>296</v>
      </c>
      <c r="NB71" s="28" t="s">
        <v>296</v>
      </c>
      <c r="NC71" s="28" t="s">
        <v>296</v>
      </c>
      <c r="ND71" s="28" t="s">
        <v>297</v>
      </c>
      <c r="NE71" s="28" t="s">
        <v>296</v>
      </c>
      <c r="NF71" s="28" t="s">
        <v>296</v>
      </c>
      <c r="NG71" s="28" t="s">
        <v>297</v>
      </c>
      <c r="NH71" s="28" t="s">
        <v>296</v>
      </c>
      <c r="NI71" s="177" t="s">
        <v>296</v>
      </c>
      <c r="NJ71" s="177" t="s">
        <v>297</v>
      </c>
      <c r="NK71" s="177" t="s">
        <v>296</v>
      </c>
      <c r="NL71" s="177" t="s">
        <v>297</v>
      </c>
      <c r="NM71" s="177" t="s">
        <v>296</v>
      </c>
      <c r="NN71" s="177" t="s">
        <v>296</v>
      </c>
      <c r="NO71" s="177" t="s">
        <v>296</v>
      </c>
      <c r="NP71" s="177" t="s">
        <v>296</v>
      </c>
      <c r="NQ71" s="177" t="s">
        <v>296</v>
      </c>
      <c r="NR71" s="12" t="s">
        <v>34</v>
      </c>
      <c r="NS71" s="13" t="s">
        <v>34</v>
      </c>
    </row>
    <row r="72" spans="1:383" x14ac:dyDescent="0.25">
      <c r="A72" s="8" t="s">
        <v>184</v>
      </c>
      <c r="B72" s="9" t="s">
        <v>185</v>
      </c>
      <c r="C72" s="9">
        <v>27</v>
      </c>
      <c r="D72" s="9" t="s">
        <v>80</v>
      </c>
      <c r="E72" s="10">
        <v>77</v>
      </c>
      <c r="F72" s="10">
        <v>74</v>
      </c>
      <c r="G72" s="10">
        <v>72</v>
      </c>
      <c r="H72" s="10">
        <v>59</v>
      </c>
      <c r="I72" s="10">
        <v>29</v>
      </c>
      <c r="J72" s="11">
        <v>318</v>
      </c>
      <c r="K72" s="11">
        <v>308</v>
      </c>
      <c r="L72" s="11">
        <v>285</v>
      </c>
      <c r="M72" s="11">
        <v>227</v>
      </c>
      <c r="N72" s="11">
        <v>98</v>
      </c>
      <c r="O72" s="13">
        <v>5184</v>
      </c>
      <c r="P72" s="13">
        <v>4853</v>
      </c>
      <c r="Q72" s="13">
        <v>4978</v>
      </c>
      <c r="R72" s="13">
        <v>4024</v>
      </c>
      <c r="S72" s="13">
        <v>1917</v>
      </c>
      <c r="T72" s="12">
        <v>1549</v>
      </c>
      <c r="U72" s="12">
        <v>1550</v>
      </c>
      <c r="V72" s="12">
        <v>1368</v>
      </c>
      <c r="W72" s="12">
        <v>1351</v>
      </c>
      <c r="X72" s="12">
        <v>344</v>
      </c>
      <c r="Y72" s="12">
        <v>6.81</v>
      </c>
      <c r="Z72" s="12">
        <v>6.2</v>
      </c>
      <c r="AA72" s="12">
        <v>6.2</v>
      </c>
      <c r="AB72" s="13">
        <v>7.11</v>
      </c>
      <c r="AC72" s="13">
        <v>6.15</v>
      </c>
      <c r="AD72" s="13">
        <v>6.15</v>
      </c>
      <c r="AE72" s="35" t="s">
        <v>259</v>
      </c>
      <c r="AF72" s="35" t="s">
        <v>259</v>
      </c>
      <c r="AG72" s="35" t="s">
        <v>259</v>
      </c>
      <c r="AH72" s="38">
        <v>1</v>
      </c>
      <c r="AI72" s="38">
        <v>1</v>
      </c>
      <c r="AJ72" s="38">
        <v>1</v>
      </c>
      <c r="AK72" s="45" t="s">
        <v>288</v>
      </c>
      <c r="AL72" s="45" t="s">
        <v>34</v>
      </c>
      <c r="AM72" s="45" t="s">
        <v>34</v>
      </c>
      <c r="AN72" s="45" t="s">
        <v>34</v>
      </c>
      <c r="AO72" s="45" t="s">
        <v>34</v>
      </c>
      <c r="AP72" s="45" t="s">
        <v>34</v>
      </c>
      <c r="AQ72" s="53" t="s">
        <v>297</v>
      </c>
      <c r="AR72" s="56">
        <v>131</v>
      </c>
      <c r="AS72" s="57">
        <v>13</v>
      </c>
      <c r="AT72" s="56">
        <v>7</v>
      </c>
      <c r="AU72" s="57">
        <v>18019</v>
      </c>
      <c r="AV72" s="57">
        <v>2700</v>
      </c>
      <c r="AW72" s="57">
        <v>3935</v>
      </c>
      <c r="AX72" s="57">
        <v>0</v>
      </c>
      <c r="AY72" s="57">
        <v>0</v>
      </c>
      <c r="AZ72" s="57">
        <v>0</v>
      </c>
      <c r="BA72" s="57">
        <v>2407</v>
      </c>
      <c r="BB72" s="57">
        <v>7795</v>
      </c>
      <c r="BC72" s="57">
        <v>6828</v>
      </c>
      <c r="BD72" s="57">
        <v>286</v>
      </c>
      <c r="BE72" s="57">
        <v>410</v>
      </c>
      <c r="BF72" s="57">
        <v>699</v>
      </c>
      <c r="BG72" s="57">
        <v>0</v>
      </c>
      <c r="BH72" s="57">
        <v>0</v>
      </c>
      <c r="BI72" s="57">
        <v>0</v>
      </c>
      <c r="BJ72" s="57" t="s">
        <v>297</v>
      </c>
      <c r="BK72" s="57">
        <v>0</v>
      </c>
      <c r="BL72" s="57">
        <v>0</v>
      </c>
      <c r="BM72" s="57">
        <v>0</v>
      </c>
      <c r="BN72" s="57">
        <v>0</v>
      </c>
      <c r="BO72" s="57">
        <v>790</v>
      </c>
      <c r="BP72" s="57">
        <v>0</v>
      </c>
      <c r="BQ72" s="76">
        <v>245</v>
      </c>
      <c r="BR72" s="76">
        <v>241</v>
      </c>
      <c r="BS72">
        <v>214</v>
      </c>
      <c r="BT72">
        <v>214</v>
      </c>
      <c r="BU72">
        <v>209</v>
      </c>
      <c r="BV72">
        <v>21628</v>
      </c>
      <c r="BW72">
        <v>20993</v>
      </c>
      <c r="BX72">
        <v>20475</v>
      </c>
      <c r="BY72">
        <v>19987</v>
      </c>
      <c r="BZ72">
        <v>19442</v>
      </c>
      <c r="CA72">
        <v>79</v>
      </c>
      <c r="CB72">
        <v>82</v>
      </c>
      <c r="CC72">
        <v>68</v>
      </c>
      <c r="CD72">
        <v>52</v>
      </c>
      <c r="CE72">
        <v>29</v>
      </c>
      <c r="CF72">
        <v>6733</v>
      </c>
      <c r="CG72">
        <v>6403</v>
      </c>
      <c r="CH72">
        <v>6346</v>
      </c>
      <c r="CI72">
        <v>5375</v>
      </c>
      <c r="CJ72">
        <v>2261</v>
      </c>
      <c r="CK72" s="10">
        <v>22.15</v>
      </c>
      <c r="CL72" s="10">
        <v>49.6</v>
      </c>
      <c r="CM72" s="10">
        <v>50.6</v>
      </c>
      <c r="CN72" s="11">
        <v>23.97</v>
      </c>
      <c r="CO72" s="11">
        <v>20.55</v>
      </c>
      <c r="CP72" s="11">
        <v>20.55</v>
      </c>
      <c r="CQ72" s="13">
        <v>9</v>
      </c>
      <c r="CR72" s="13">
        <v>8</v>
      </c>
      <c r="CS72" s="13">
        <v>0</v>
      </c>
      <c r="CT72" s="10">
        <v>0</v>
      </c>
      <c r="CU72" s="10">
        <v>0</v>
      </c>
      <c r="CV72" s="10">
        <v>5</v>
      </c>
      <c r="CW72" s="10">
        <v>12</v>
      </c>
      <c r="CX72" s="10">
        <v>5</v>
      </c>
      <c r="CY72" s="10">
        <v>0</v>
      </c>
      <c r="CZ72" s="10">
        <v>0</v>
      </c>
      <c r="DA72" s="10">
        <v>0</v>
      </c>
      <c r="DB72" s="10">
        <v>0</v>
      </c>
      <c r="DC72" s="10">
        <v>0</v>
      </c>
      <c r="DD72" s="10">
        <v>0</v>
      </c>
      <c r="DE72" s="10">
        <v>0</v>
      </c>
      <c r="DF72" s="10">
        <v>5</v>
      </c>
      <c r="DG72" s="10">
        <v>0</v>
      </c>
      <c r="DH72" s="10">
        <v>11</v>
      </c>
      <c r="DI72" s="81">
        <v>6</v>
      </c>
      <c r="DJ72" s="81">
        <v>0</v>
      </c>
      <c r="DK72" s="81">
        <v>0</v>
      </c>
      <c r="DL72" s="81">
        <v>0</v>
      </c>
      <c r="DM72" s="81">
        <v>5</v>
      </c>
      <c r="DN72" s="12">
        <v>0</v>
      </c>
      <c r="DO72" s="12">
        <v>0</v>
      </c>
      <c r="DP72" s="12">
        <v>0</v>
      </c>
      <c r="DQ72" s="12">
        <v>0</v>
      </c>
      <c r="DR72" s="12">
        <v>0</v>
      </c>
      <c r="DS72" s="12">
        <v>0</v>
      </c>
      <c r="DT72" s="12">
        <v>0</v>
      </c>
      <c r="DU72" s="12">
        <v>0</v>
      </c>
      <c r="DV72" s="12">
        <v>10</v>
      </c>
      <c r="DW72" s="12">
        <v>0</v>
      </c>
      <c r="DX72" s="12">
        <v>0</v>
      </c>
      <c r="DY72" s="12">
        <v>4</v>
      </c>
      <c r="DZ72" s="12">
        <v>0</v>
      </c>
      <c r="EA72" s="12">
        <v>0</v>
      </c>
      <c r="EB72" s="12">
        <v>36</v>
      </c>
      <c r="EC72" s="12">
        <v>0</v>
      </c>
      <c r="ED72" s="12">
        <v>0</v>
      </c>
      <c r="EE72" s="12">
        <v>0</v>
      </c>
      <c r="EF72" s="12">
        <v>0</v>
      </c>
      <c r="EG72" s="12">
        <v>0</v>
      </c>
      <c r="EH72" s="12">
        <v>0</v>
      </c>
      <c r="EI72" s="12">
        <v>0</v>
      </c>
      <c r="EJ72" s="12">
        <v>2</v>
      </c>
      <c r="EK72" s="12">
        <v>0</v>
      </c>
      <c r="EL72" s="12">
        <v>0</v>
      </c>
      <c r="EM72" s="12">
        <v>1</v>
      </c>
      <c r="EN72" s="12">
        <v>0</v>
      </c>
      <c r="EO72" s="12">
        <v>0</v>
      </c>
      <c r="EP72" s="12">
        <v>0</v>
      </c>
      <c r="EQ72" s="12">
        <v>0</v>
      </c>
      <c r="ER72" s="12">
        <v>0</v>
      </c>
      <c r="ES72" s="13">
        <v>0</v>
      </c>
      <c r="ET72" s="13">
        <v>2</v>
      </c>
      <c r="EU72" s="13">
        <v>0</v>
      </c>
      <c r="EV72" s="10">
        <v>0</v>
      </c>
      <c r="EW72" s="10">
        <v>0</v>
      </c>
      <c r="EX72" s="10">
        <v>0</v>
      </c>
      <c r="EY72" s="10">
        <v>0</v>
      </c>
      <c r="EZ72" s="10">
        <v>0</v>
      </c>
      <c r="FA72" s="10">
        <v>0</v>
      </c>
      <c r="FB72" s="10">
        <v>0</v>
      </c>
      <c r="FC72" s="10">
        <v>0</v>
      </c>
      <c r="FD72" s="10">
        <v>0</v>
      </c>
      <c r="FE72" s="10">
        <v>0</v>
      </c>
      <c r="FF72" s="10">
        <v>0</v>
      </c>
      <c r="FG72" s="10">
        <v>0</v>
      </c>
      <c r="FH72" s="10">
        <v>0</v>
      </c>
      <c r="FI72" s="10">
        <v>0</v>
      </c>
      <c r="FJ72" s="10">
        <v>0</v>
      </c>
      <c r="FK72" s="81">
        <v>0</v>
      </c>
      <c r="FL72" s="81">
        <v>0</v>
      </c>
      <c r="FM72" s="81">
        <v>0</v>
      </c>
      <c r="FN72" s="81">
        <v>0</v>
      </c>
      <c r="FO72" s="81">
        <v>0</v>
      </c>
      <c r="FP72" s="12">
        <v>0</v>
      </c>
      <c r="FQ72" s="12">
        <v>0</v>
      </c>
      <c r="FR72" s="12">
        <v>0</v>
      </c>
      <c r="FS72" s="12">
        <v>0</v>
      </c>
      <c r="FT72" s="12">
        <v>0</v>
      </c>
      <c r="FU72" s="12">
        <v>0</v>
      </c>
      <c r="FV72" s="12">
        <v>0</v>
      </c>
      <c r="FW72" s="12">
        <v>0</v>
      </c>
      <c r="FX72" s="12">
        <v>2</v>
      </c>
      <c r="FY72" s="12">
        <v>0</v>
      </c>
      <c r="FZ72" s="12">
        <v>0</v>
      </c>
      <c r="GA72" s="12">
        <v>2</v>
      </c>
      <c r="GB72" s="12">
        <v>0</v>
      </c>
      <c r="GC72" s="12">
        <v>0</v>
      </c>
      <c r="GD72" s="12">
        <v>5</v>
      </c>
      <c r="GE72" s="12">
        <v>0</v>
      </c>
      <c r="GF72" s="12">
        <v>0</v>
      </c>
      <c r="GG72" s="12">
        <v>0</v>
      </c>
      <c r="GH72" s="12">
        <v>0</v>
      </c>
      <c r="GI72" s="12">
        <v>0</v>
      </c>
      <c r="GJ72" s="12">
        <v>0</v>
      </c>
      <c r="GK72" s="12">
        <v>0</v>
      </c>
      <c r="GL72" s="12">
        <v>0</v>
      </c>
      <c r="GM72" s="12">
        <v>0</v>
      </c>
      <c r="GN72" s="12">
        <v>0</v>
      </c>
      <c r="GO72" s="12">
        <v>0</v>
      </c>
      <c r="GP72" s="12">
        <v>0</v>
      </c>
      <c r="GQ72" s="12">
        <v>0</v>
      </c>
      <c r="GR72" s="12">
        <v>0</v>
      </c>
      <c r="GS72" s="12">
        <v>0</v>
      </c>
      <c r="GT72" s="12">
        <v>0</v>
      </c>
      <c r="GU72" s="13">
        <v>13</v>
      </c>
      <c r="GV72" s="13">
        <v>1</v>
      </c>
      <c r="GW72" s="13">
        <v>1</v>
      </c>
      <c r="GX72" s="13">
        <v>0</v>
      </c>
      <c r="GY72" s="10">
        <v>0</v>
      </c>
      <c r="GZ72" s="10">
        <v>0</v>
      </c>
      <c r="HA72" s="10">
        <v>0</v>
      </c>
      <c r="HB72" s="10">
        <v>0</v>
      </c>
      <c r="HC72" s="10">
        <v>3</v>
      </c>
      <c r="HD72" s="10">
        <v>0</v>
      </c>
      <c r="HE72" s="10">
        <v>0</v>
      </c>
      <c r="HF72" s="10">
        <v>0</v>
      </c>
      <c r="HG72" s="10">
        <v>0</v>
      </c>
      <c r="HH72" s="10">
        <v>0</v>
      </c>
      <c r="HI72" s="10">
        <v>0</v>
      </c>
      <c r="HJ72" s="10">
        <v>0</v>
      </c>
      <c r="HK72" s="10">
        <v>0</v>
      </c>
      <c r="HL72" s="10">
        <v>0</v>
      </c>
      <c r="HM72" s="10">
        <v>2</v>
      </c>
      <c r="HN72" s="81">
        <v>0</v>
      </c>
      <c r="HO72" s="81">
        <v>0</v>
      </c>
      <c r="HP72" s="81">
        <v>0</v>
      </c>
      <c r="HQ72" s="81">
        <v>0</v>
      </c>
      <c r="HR72" s="81">
        <v>0</v>
      </c>
      <c r="HS72" s="12">
        <v>0</v>
      </c>
      <c r="HT72" s="12">
        <v>0</v>
      </c>
      <c r="HU72" s="12">
        <v>0</v>
      </c>
      <c r="HV72" s="12">
        <v>0</v>
      </c>
      <c r="HW72" s="12">
        <v>0</v>
      </c>
      <c r="HX72" s="12">
        <v>0</v>
      </c>
      <c r="HY72" s="12">
        <v>0</v>
      </c>
      <c r="HZ72" s="12">
        <v>0</v>
      </c>
      <c r="IA72" s="12">
        <v>0</v>
      </c>
      <c r="IB72" s="12">
        <v>0</v>
      </c>
      <c r="IC72" s="12">
        <v>0</v>
      </c>
      <c r="ID72" s="12">
        <v>0</v>
      </c>
      <c r="IE72" s="12">
        <v>0</v>
      </c>
      <c r="IF72" s="12">
        <v>0</v>
      </c>
      <c r="IG72" s="12">
        <v>0</v>
      </c>
      <c r="IH72" s="12">
        <v>0</v>
      </c>
      <c r="II72" s="12">
        <v>0</v>
      </c>
      <c r="IJ72" s="12">
        <v>0</v>
      </c>
      <c r="IK72" s="12">
        <v>0</v>
      </c>
      <c r="IL72" s="12">
        <v>0</v>
      </c>
      <c r="IM72" s="12">
        <v>0</v>
      </c>
      <c r="IN72" s="12">
        <v>0</v>
      </c>
      <c r="IO72" s="12">
        <v>0</v>
      </c>
      <c r="IP72" s="12">
        <v>0</v>
      </c>
      <c r="IQ72" s="12">
        <v>0</v>
      </c>
      <c r="IR72" s="12">
        <v>0</v>
      </c>
      <c r="IS72" s="12">
        <v>0</v>
      </c>
      <c r="IT72" s="12">
        <v>0</v>
      </c>
      <c r="IU72" s="12">
        <v>0</v>
      </c>
      <c r="IV72" s="12">
        <v>0</v>
      </c>
      <c r="IW72" s="12">
        <v>0</v>
      </c>
      <c r="IX72" s="11">
        <v>15100</v>
      </c>
      <c r="IY72" s="11">
        <v>15000</v>
      </c>
      <c r="IZ72" s="11">
        <v>15100</v>
      </c>
      <c r="JA72" s="85" t="s">
        <v>602</v>
      </c>
      <c r="JB72" s="85">
        <v>0</v>
      </c>
      <c r="JC72" s="85">
        <v>0</v>
      </c>
      <c r="JD72" s="12">
        <v>5</v>
      </c>
      <c r="JE72" s="12">
        <v>2</v>
      </c>
      <c r="JF72" s="12">
        <v>5</v>
      </c>
      <c r="JG72" s="12">
        <v>1</v>
      </c>
      <c r="JH72" s="12">
        <v>5</v>
      </c>
      <c r="JI72" s="12">
        <v>2</v>
      </c>
      <c r="JJ72" s="13" t="s">
        <v>619</v>
      </c>
      <c r="JK72" s="13" t="s">
        <v>619</v>
      </c>
      <c r="JL72" s="13" t="s">
        <v>296</v>
      </c>
      <c r="JM72" s="89"/>
      <c r="JN72" s="89"/>
      <c r="JO72" s="89" t="s">
        <v>297</v>
      </c>
      <c r="JP72" s="89"/>
      <c r="JQ72" s="89"/>
      <c r="JR72" s="89" t="s">
        <v>296</v>
      </c>
      <c r="JS72" s="89" t="s">
        <v>620</v>
      </c>
      <c r="JT72" s="89" t="s">
        <v>620</v>
      </c>
      <c r="JU72" s="89" t="s">
        <v>297</v>
      </c>
      <c r="JV72" s="89"/>
      <c r="JW72" s="89"/>
      <c r="JX72" s="89" t="s">
        <v>297</v>
      </c>
      <c r="JY72" s="12" t="s">
        <v>34</v>
      </c>
      <c r="JZ72" s="12" t="s">
        <v>34</v>
      </c>
      <c r="KA72" s="12" t="s">
        <v>34</v>
      </c>
      <c r="KB72" s="12" t="s">
        <v>34</v>
      </c>
      <c r="KC72" s="12" t="s">
        <v>34</v>
      </c>
      <c r="KD72" s="12" t="s">
        <v>34</v>
      </c>
      <c r="KE72" s="12" t="s">
        <v>34</v>
      </c>
      <c r="KF72" s="12"/>
      <c r="KG72" s="12" t="s">
        <v>34</v>
      </c>
      <c r="KH72" s="12" t="s">
        <v>34</v>
      </c>
      <c r="KI72" s="12" t="s">
        <v>34</v>
      </c>
      <c r="KJ72" s="12" t="s">
        <v>619</v>
      </c>
      <c r="KK72" s="12" t="s">
        <v>34</v>
      </c>
      <c r="KL72" s="12" t="s">
        <v>34</v>
      </c>
      <c r="KM72" s="12" t="s">
        <v>34</v>
      </c>
      <c r="KN72" s="12" t="s">
        <v>34</v>
      </c>
      <c r="KO72" s="12" t="s">
        <v>34</v>
      </c>
      <c r="KP72" s="12" t="s">
        <v>619</v>
      </c>
      <c r="KQ72" s="12" t="s">
        <v>619</v>
      </c>
      <c r="KR72" s="12" t="s">
        <v>619</v>
      </c>
      <c r="KS72" s="12" t="s">
        <v>34</v>
      </c>
      <c r="KT72" s="12" t="s">
        <v>34</v>
      </c>
      <c r="KU72" s="12" t="s">
        <v>34</v>
      </c>
      <c r="KV72" s="12" t="s">
        <v>34</v>
      </c>
      <c r="KW72" s="12" t="s">
        <v>34</v>
      </c>
      <c r="KX72" s="12" t="s">
        <v>34</v>
      </c>
      <c r="KY72" s="12" t="s">
        <v>34</v>
      </c>
      <c r="KZ72" s="12" t="s">
        <v>619</v>
      </c>
      <c r="LA72" s="12" t="s">
        <v>34</v>
      </c>
      <c r="LB72" s="12" t="s">
        <v>619</v>
      </c>
      <c r="LC72" s="12" t="s">
        <v>619</v>
      </c>
      <c r="LD72" s="12" t="s">
        <v>619</v>
      </c>
      <c r="LE72" s="12" t="s">
        <v>34</v>
      </c>
      <c r="LF72" s="12" t="s">
        <v>34</v>
      </c>
      <c r="LG72" s="12" t="s">
        <v>34</v>
      </c>
      <c r="LH72" s="12" t="s">
        <v>34</v>
      </c>
      <c r="LI72" s="12" t="s">
        <v>619</v>
      </c>
      <c r="LJ72" s="12" t="s">
        <v>619</v>
      </c>
      <c r="LK72" s="12" t="s">
        <v>34</v>
      </c>
      <c r="LL72" s="13" t="s">
        <v>34</v>
      </c>
      <c r="LM72" s="13" t="s">
        <v>34</v>
      </c>
      <c r="LN72" s="13" t="s">
        <v>34</v>
      </c>
      <c r="LO72" s="13" t="s">
        <v>34</v>
      </c>
      <c r="LP72" s="90" t="s">
        <v>34</v>
      </c>
      <c r="LQ72" s="13" t="s">
        <v>34</v>
      </c>
      <c r="LR72" s="13" t="s">
        <v>34</v>
      </c>
      <c r="LS72" s="13"/>
      <c r="LT72" s="13" t="s">
        <v>34</v>
      </c>
      <c r="LU72" s="13" t="s">
        <v>34</v>
      </c>
      <c r="LV72" s="13" t="s">
        <v>34</v>
      </c>
      <c r="LW72" s="13" t="s">
        <v>34</v>
      </c>
      <c r="LX72" s="13" t="s">
        <v>34</v>
      </c>
      <c r="LY72" s="13" t="s">
        <v>34</v>
      </c>
      <c r="LZ72" s="13" t="s">
        <v>34</v>
      </c>
      <c r="MA72" s="13" t="s">
        <v>34</v>
      </c>
      <c r="MB72" s="13" t="s">
        <v>34</v>
      </c>
      <c r="MC72" s="13" t="s">
        <v>34</v>
      </c>
      <c r="MD72" s="13" t="s">
        <v>34</v>
      </c>
      <c r="ME72" s="13" t="s">
        <v>34</v>
      </c>
      <c r="MF72" s="13" t="s">
        <v>34</v>
      </c>
      <c r="MG72" s="13" t="s">
        <v>34</v>
      </c>
      <c r="MH72" s="13" t="s">
        <v>34</v>
      </c>
      <c r="MI72" s="13" t="s">
        <v>34</v>
      </c>
      <c r="MJ72" s="13" t="s">
        <v>34</v>
      </c>
      <c r="MK72" s="13" t="s">
        <v>34</v>
      </c>
      <c r="ML72" s="13" t="s">
        <v>34</v>
      </c>
      <c r="MM72" s="13" t="s">
        <v>34</v>
      </c>
      <c r="MN72" s="13" t="s">
        <v>34</v>
      </c>
      <c r="MO72" s="13" t="s">
        <v>34</v>
      </c>
      <c r="MP72" s="13" t="s">
        <v>34</v>
      </c>
      <c r="MQ72" s="13" t="s">
        <v>34</v>
      </c>
      <c r="MR72" s="13" t="s">
        <v>34</v>
      </c>
      <c r="MS72" s="13" t="s">
        <v>34</v>
      </c>
      <c r="MT72" s="13" t="s">
        <v>34</v>
      </c>
      <c r="MU72" s="13" t="s">
        <v>34</v>
      </c>
      <c r="MV72" s="13" t="s">
        <v>34</v>
      </c>
      <c r="MW72" s="13" t="s">
        <v>34</v>
      </c>
      <c r="MX72" s="13" t="s">
        <v>34</v>
      </c>
      <c r="MY72" s="28" t="s">
        <v>296</v>
      </c>
      <c r="MZ72" s="28" t="s">
        <v>296</v>
      </c>
      <c r="NA72" s="28" t="s">
        <v>296</v>
      </c>
      <c r="NB72" s="28" t="s">
        <v>296</v>
      </c>
      <c r="NC72" s="28" t="s">
        <v>296</v>
      </c>
      <c r="ND72" s="28" t="s">
        <v>296</v>
      </c>
      <c r="NE72" s="28" t="s">
        <v>296</v>
      </c>
      <c r="NF72" s="28" t="s">
        <v>296</v>
      </c>
      <c r="NG72" s="28" t="s">
        <v>297</v>
      </c>
      <c r="NH72" s="28" t="s">
        <v>297</v>
      </c>
      <c r="NI72" s="177" t="s">
        <v>296</v>
      </c>
      <c r="NJ72" s="177" t="s">
        <v>297</v>
      </c>
      <c r="NK72" s="177" t="s">
        <v>296</v>
      </c>
      <c r="NL72" s="177" t="s">
        <v>297</v>
      </c>
      <c r="NM72" s="177" t="s">
        <v>296</v>
      </c>
      <c r="NN72" s="177" t="s">
        <v>296</v>
      </c>
      <c r="NO72" s="177" t="s">
        <v>296</v>
      </c>
      <c r="NP72" s="177" t="s">
        <v>296</v>
      </c>
      <c r="NQ72" s="177" t="s">
        <v>296</v>
      </c>
      <c r="NR72" s="12" t="s">
        <v>34</v>
      </c>
      <c r="NS72" s="13" t="s">
        <v>34</v>
      </c>
    </row>
    <row r="73" spans="1:383" x14ac:dyDescent="0.25">
      <c r="A73" s="8" t="s">
        <v>186</v>
      </c>
      <c r="B73" s="9" t="s">
        <v>187</v>
      </c>
      <c r="C73" s="9">
        <v>27</v>
      </c>
      <c r="D73" s="9" t="s">
        <v>80</v>
      </c>
      <c r="E73" s="10">
        <v>17</v>
      </c>
      <c r="F73" s="10">
        <v>16</v>
      </c>
      <c r="G73" s="10">
        <v>14</v>
      </c>
      <c r="H73" s="10">
        <v>13</v>
      </c>
      <c r="I73" s="10">
        <v>10</v>
      </c>
      <c r="J73" s="11">
        <v>242</v>
      </c>
      <c r="K73" s="11">
        <v>247</v>
      </c>
      <c r="L73" s="11">
        <v>252</v>
      </c>
      <c r="M73" s="11">
        <v>167</v>
      </c>
      <c r="N73" s="11">
        <v>178</v>
      </c>
      <c r="O73" s="13">
        <v>1232</v>
      </c>
      <c r="P73" s="13">
        <v>1653</v>
      </c>
      <c r="Q73" s="13">
        <v>1362</v>
      </c>
      <c r="R73" s="13">
        <v>1521</v>
      </c>
      <c r="S73" s="13">
        <v>1657</v>
      </c>
      <c r="T73" s="12">
        <v>374</v>
      </c>
      <c r="U73" s="12">
        <v>478</v>
      </c>
      <c r="V73" s="12">
        <v>533</v>
      </c>
      <c r="W73" s="12">
        <v>537</v>
      </c>
      <c r="X73" s="12">
        <v>507</v>
      </c>
      <c r="Y73" s="12">
        <v>8</v>
      </c>
      <c r="Z73" s="12">
        <v>8</v>
      </c>
      <c r="AA73" s="12">
        <v>8</v>
      </c>
      <c r="AB73" s="13">
        <v>8</v>
      </c>
      <c r="AC73" s="13">
        <v>8</v>
      </c>
      <c r="AD73" s="13">
        <v>8</v>
      </c>
      <c r="AE73" s="35" t="s">
        <v>259</v>
      </c>
      <c r="AF73" s="35" t="s">
        <v>259</v>
      </c>
      <c r="AG73" s="35" t="s">
        <v>259</v>
      </c>
      <c r="AH73" s="38">
        <v>1</v>
      </c>
      <c r="AI73" s="38">
        <v>1</v>
      </c>
      <c r="AJ73" s="38">
        <v>0.9</v>
      </c>
      <c r="AK73" s="45" t="s">
        <v>34</v>
      </c>
      <c r="AL73" s="45" t="s">
        <v>34</v>
      </c>
      <c r="AM73" s="45" t="s">
        <v>34</v>
      </c>
      <c r="AN73" s="45" t="s">
        <v>34</v>
      </c>
      <c r="AO73" s="45" t="s">
        <v>34</v>
      </c>
      <c r="AP73" s="45" t="s">
        <v>34</v>
      </c>
      <c r="AQ73" s="53" t="s">
        <v>296</v>
      </c>
      <c r="AR73" s="56">
        <v>129</v>
      </c>
      <c r="AS73" s="57">
        <v>6</v>
      </c>
      <c r="AT73" s="56">
        <v>32</v>
      </c>
      <c r="AU73" s="57">
        <v>9199</v>
      </c>
      <c r="AV73" s="57">
        <v>2306</v>
      </c>
      <c r="AW73" s="57">
        <v>2042</v>
      </c>
      <c r="AX73" s="57">
        <v>94</v>
      </c>
      <c r="AY73" s="57">
        <v>0</v>
      </c>
      <c r="AZ73" s="57">
        <v>11</v>
      </c>
      <c r="BA73" s="57">
        <v>313</v>
      </c>
      <c r="BB73" s="57">
        <v>561</v>
      </c>
      <c r="BC73" s="57">
        <v>379</v>
      </c>
      <c r="BD73" s="57">
        <v>0</v>
      </c>
      <c r="BE73" s="57">
        <v>0</v>
      </c>
      <c r="BF73" s="57">
        <v>0</v>
      </c>
      <c r="BG73" s="57">
        <v>0</v>
      </c>
      <c r="BH73" s="57">
        <v>0</v>
      </c>
      <c r="BI73" s="57">
        <v>0</v>
      </c>
      <c r="BJ73" s="57" t="s">
        <v>297</v>
      </c>
      <c r="BK73" s="57">
        <v>8</v>
      </c>
      <c r="BL73" s="57">
        <v>0</v>
      </c>
      <c r="BM73" s="57">
        <v>0</v>
      </c>
      <c r="BN73" s="57">
        <v>184</v>
      </c>
      <c r="BO73" s="57">
        <v>84</v>
      </c>
      <c r="BP73" s="57">
        <v>113</v>
      </c>
      <c r="BQ73" s="76">
        <v>588</v>
      </c>
      <c r="BR73" s="76">
        <v>577</v>
      </c>
      <c r="BS73">
        <v>554</v>
      </c>
      <c r="BT73">
        <v>554</v>
      </c>
      <c r="BU73">
        <v>546</v>
      </c>
      <c r="BV73">
        <v>45553</v>
      </c>
      <c r="BW73">
        <v>45085</v>
      </c>
      <c r="BX73">
        <v>44598</v>
      </c>
      <c r="BY73">
        <v>44204</v>
      </c>
      <c r="BZ73">
        <v>43635</v>
      </c>
      <c r="CA73">
        <v>46</v>
      </c>
      <c r="CB73">
        <v>54</v>
      </c>
      <c r="CC73">
        <v>31</v>
      </c>
      <c r="CD73">
        <v>54</v>
      </c>
      <c r="CE73">
        <v>71</v>
      </c>
      <c r="CF73">
        <v>1606</v>
      </c>
      <c r="CG73">
        <v>2131</v>
      </c>
      <c r="CH73">
        <v>1895</v>
      </c>
      <c r="CI73">
        <v>2058</v>
      </c>
      <c r="CJ73">
        <v>2164</v>
      </c>
      <c r="CK73" s="10">
        <v>30</v>
      </c>
      <c r="CL73" s="10">
        <v>30</v>
      </c>
      <c r="CM73" s="10">
        <v>30</v>
      </c>
      <c r="CN73" s="11">
        <v>20</v>
      </c>
      <c r="CO73" s="11">
        <v>20</v>
      </c>
      <c r="CP73" s="11">
        <v>20</v>
      </c>
      <c r="CQ73" s="13">
        <v>7</v>
      </c>
      <c r="CR73" s="13">
        <v>4</v>
      </c>
      <c r="CS73" s="13">
        <v>9</v>
      </c>
      <c r="CT73" s="10">
        <v>0</v>
      </c>
      <c r="CU73" s="10">
        <v>2</v>
      </c>
      <c r="CV73" s="10">
        <v>7</v>
      </c>
      <c r="CW73" s="10">
        <v>4</v>
      </c>
      <c r="CX73" s="10">
        <v>6</v>
      </c>
      <c r="CY73" s="10">
        <v>1</v>
      </c>
      <c r="CZ73" s="10">
        <v>1</v>
      </c>
      <c r="DA73" s="10">
        <v>1</v>
      </c>
      <c r="DB73" s="10">
        <v>4</v>
      </c>
      <c r="DC73" s="10">
        <v>8</v>
      </c>
      <c r="DD73" s="10">
        <v>1</v>
      </c>
      <c r="DE73" s="10">
        <v>0</v>
      </c>
      <c r="DF73" s="10">
        <v>1</v>
      </c>
      <c r="DG73" s="10">
        <v>0</v>
      </c>
      <c r="DH73" s="10">
        <v>5</v>
      </c>
      <c r="DI73" s="81">
        <v>1</v>
      </c>
      <c r="DJ73" s="81">
        <v>2</v>
      </c>
      <c r="DK73" s="81">
        <v>6</v>
      </c>
      <c r="DL73" s="81">
        <v>0</v>
      </c>
      <c r="DM73" s="81">
        <v>1</v>
      </c>
      <c r="DN73" s="12">
        <v>8</v>
      </c>
      <c r="DO73" s="12">
        <v>0</v>
      </c>
      <c r="DP73" s="12">
        <v>4</v>
      </c>
      <c r="DQ73" s="12">
        <v>2</v>
      </c>
      <c r="DR73" s="12">
        <v>0</v>
      </c>
      <c r="DS73" s="12">
        <v>0</v>
      </c>
      <c r="DT73" s="12">
        <v>1</v>
      </c>
      <c r="DU73" s="12">
        <v>0</v>
      </c>
      <c r="DV73" s="12">
        <v>2</v>
      </c>
      <c r="DW73" s="12">
        <v>2</v>
      </c>
      <c r="DX73" s="12">
        <v>1</v>
      </c>
      <c r="DY73" s="12">
        <v>3</v>
      </c>
      <c r="DZ73" s="12">
        <v>3</v>
      </c>
      <c r="EA73" s="12">
        <v>0</v>
      </c>
      <c r="EB73" s="12">
        <v>6</v>
      </c>
      <c r="EC73" s="12">
        <v>2</v>
      </c>
      <c r="ED73" s="12">
        <v>0</v>
      </c>
      <c r="EE73" s="12">
        <v>1</v>
      </c>
      <c r="EF73" s="12">
        <v>16</v>
      </c>
      <c r="EG73" s="12">
        <v>0</v>
      </c>
      <c r="EH73" s="12">
        <v>0</v>
      </c>
      <c r="EI73" s="12">
        <v>1</v>
      </c>
      <c r="EJ73" s="12">
        <v>0</v>
      </c>
      <c r="EK73" s="12">
        <v>1</v>
      </c>
      <c r="EL73" s="12">
        <v>3</v>
      </c>
      <c r="EM73" s="12">
        <v>3</v>
      </c>
      <c r="EN73" s="12">
        <v>8</v>
      </c>
      <c r="EO73" s="12">
        <v>0</v>
      </c>
      <c r="EP73" s="12">
        <v>0</v>
      </c>
      <c r="EQ73" s="12">
        <v>2</v>
      </c>
      <c r="ER73" s="12">
        <v>0</v>
      </c>
      <c r="ES73" s="13">
        <v>1</v>
      </c>
      <c r="ET73" s="13">
        <v>0</v>
      </c>
      <c r="EU73" s="13">
        <v>0</v>
      </c>
      <c r="EV73" s="10">
        <v>0</v>
      </c>
      <c r="EW73" s="10">
        <v>0</v>
      </c>
      <c r="EX73" s="10">
        <v>0</v>
      </c>
      <c r="EY73" s="10">
        <v>0</v>
      </c>
      <c r="EZ73" s="10">
        <v>0</v>
      </c>
      <c r="FA73" s="10">
        <v>0</v>
      </c>
      <c r="FB73" s="10">
        <v>0</v>
      </c>
      <c r="FC73" s="10">
        <v>0</v>
      </c>
      <c r="FD73" s="10">
        <v>1</v>
      </c>
      <c r="FE73" s="10">
        <v>0</v>
      </c>
      <c r="FF73" s="10">
        <v>0</v>
      </c>
      <c r="FG73" s="10">
        <v>0</v>
      </c>
      <c r="FH73" s="10">
        <v>1</v>
      </c>
      <c r="FI73" s="10">
        <v>0</v>
      </c>
      <c r="FJ73" s="10">
        <v>1</v>
      </c>
      <c r="FK73" s="81">
        <v>0</v>
      </c>
      <c r="FL73" s="81">
        <v>0</v>
      </c>
      <c r="FM73" s="81">
        <v>4</v>
      </c>
      <c r="FN73" s="81">
        <v>0</v>
      </c>
      <c r="FO73" s="81">
        <v>0</v>
      </c>
      <c r="FP73" s="12">
        <v>0</v>
      </c>
      <c r="FQ73" s="12">
        <v>0</v>
      </c>
      <c r="FR73" s="12">
        <v>0</v>
      </c>
      <c r="FS73" s="12">
        <v>0</v>
      </c>
      <c r="FT73" s="12">
        <v>0</v>
      </c>
      <c r="FU73" s="12">
        <v>0</v>
      </c>
      <c r="FV73" s="12">
        <v>0</v>
      </c>
      <c r="FW73" s="12">
        <v>0</v>
      </c>
      <c r="FX73" s="12">
        <v>0</v>
      </c>
      <c r="FY73" s="12">
        <v>0</v>
      </c>
      <c r="FZ73" s="12">
        <v>0</v>
      </c>
      <c r="GA73" s="12">
        <v>0</v>
      </c>
      <c r="GB73" s="12">
        <v>0</v>
      </c>
      <c r="GC73" s="12">
        <v>0</v>
      </c>
      <c r="GD73" s="12">
        <v>1</v>
      </c>
      <c r="GE73" s="12">
        <v>0</v>
      </c>
      <c r="GF73" s="12">
        <v>1</v>
      </c>
      <c r="GG73" s="12">
        <v>1</v>
      </c>
      <c r="GH73" s="12">
        <v>0</v>
      </c>
      <c r="GI73" s="12">
        <v>0</v>
      </c>
      <c r="GJ73" s="12">
        <v>0</v>
      </c>
      <c r="GK73" s="12">
        <v>0</v>
      </c>
      <c r="GL73" s="12">
        <v>1</v>
      </c>
      <c r="GM73" s="12">
        <v>0</v>
      </c>
      <c r="GN73" s="12">
        <v>0</v>
      </c>
      <c r="GO73" s="12">
        <v>0</v>
      </c>
      <c r="GP73" s="12">
        <v>0</v>
      </c>
      <c r="GQ73" s="12">
        <v>0</v>
      </c>
      <c r="GR73" s="12">
        <v>1</v>
      </c>
      <c r="GS73" s="12">
        <v>0</v>
      </c>
      <c r="GT73" s="12">
        <v>0</v>
      </c>
      <c r="GU73" s="13">
        <v>6</v>
      </c>
      <c r="GV73" s="13">
        <v>0</v>
      </c>
      <c r="GW73" s="13">
        <v>0</v>
      </c>
      <c r="GX73" s="13">
        <v>0</v>
      </c>
      <c r="GY73" s="10">
        <v>0</v>
      </c>
      <c r="GZ73" s="10">
        <v>0</v>
      </c>
      <c r="HA73" s="10">
        <v>0</v>
      </c>
      <c r="HB73" s="10">
        <v>7</v>
      </c>
      <c r="HC73" s="10">
        <v>7</v>
      </c>
      <c r="HD73" s="10">
        <v>0</v>
      </c>
      <c r="HE73" s="10">
        <v>0</v>
      </c>
      <c r="HF73" s="10">
        <v>0</v>
      </c>
      <c r="HG73" s="10">
        <v>4</v>
      </c>
      <c r="HH73" s="10">
        <v>1</v>
      </c>
      <c r="HI73" s="10">
        <v>0</v>
      </c>
      <c r="HJ73" s="10">
        <v>0</v>
      </c>
      <c r="HK73" s="10">
        <v>0</v>
      </c>
      <c r="HL73" s="10">
        <v>0</v>
      </c>
      <c r="HM73" s="10">
        <v>3</v>
      </c>
      <c r="HN73" s="81">
        <v>0</v>
      </c>
      <c r="HO73" s="81">
        <v>4</v>
      </c>
      <c r="HP73" s="81">
        <v>1</v>
      </c>
      <c r="HQ73" s="81">
        <v>0</v>
      </c>
      <c r="HR73" s="81">
        <v>1</v>
      </c>
      <c r="HS73" s="12">
        <v>0</v>
      </c>
      <c r="HT73" s="12">
        <v>0</v>
      </c>
      <c r="HU73" s="12">
        <v>0</v>
      </c>
      <c r="HV73" s="12">
        <v>0</v>
      </c>
      <c r="HW73" s="12">
        <v>1</v>
      </c>
      <c r="HX73" s="12">
        <v>0</v>
      </c>
      <c r="HY73" s="12">
        <v>0</v>
      </c>
      <c r="HZ73" s="12">
        <v>0</v>
      </c>
      <c r="IA73" s="12">
        <v>0</v>
      </c>
      <c r="IB73" s="12">
        <v>0</v>
      </c>
      <c r="IC73" s="12">
        <v>1</v>
      </c>
      <c r="ID73" s="12">
        <v>0</v>
      </c>
      <c r="IE73" s="12">
        <v>0</v>
      </c>
      <c r="IF73" s="12">
        <v>0</v>
      </c>
      <c r="IG73" s="12">
        <v>0</v>
      </c>
      <c r="IH73" s="12">
        <v>0</v>
      </c>
      <c r="II73" s="12">
        <v>3</v>
      </c>
      <c r="IJ73" s="12">
        <v>0</v>
      </c>
      <c r="IK73" s="12">
        <v>1</v>
      </c>
      <c r="IL73" s="12">
        <v>0</v>
      </c>
      <c r="IM73" s="12">
        <v>0</v>
      </c>
      <c r="IN73" s="12">
        <v>0</v>
      </c>
      <c r="IO73" s="12">
        <v>0</v>
      </c>
      <c r="IP73" s="12">
        <v>0</v>
      </c>
      <c r="IQ73" s="12">
        <v>0</v>
      </c>
      <c r="IR73" s="12">
        <v>0</v>
      </c>
      <c r="IS73" s="12">
        <v>0</v>
      </c>
      <c r="IT73" s="12">
        <v>0</v>
      </c>
      <c r="IU73" s="12">
        <v>2</v>
      </c>
      <c r="IV73" s="12">
        <v>0</v>
      </c>
      <c r="IW73" s="12">
        <v>0</v>
      </c>
      <c r="IX73" s="11">
        <v>6000</v>
      </c>
      <c r="IY73" s="11">
        <v>16120</v>
      </c>
      <c r="IZ73" s="11">
        <v>17000</v>
      </c>
      <c r="JA73" s="85" t="s">
        <v>604</v>
      </c>
      <c r="JB73" s="85">
        <v>1</v>
      </c>
      <c r="JC73" s="85">
        <v>1</v>
      </c>
      <c r="JD73" s="12">
        <v>10</v>
      </c>
      <c r="JE73" s="12">
        <v>6</v>
      </c>
      <c r="JF73" s="12">
        <v>10</v>
      </c>
      <c r="JG73" s="12">
        <v>5</v>
      </c>
      <c r="JH73" s="12">
        <v>10</v>
      </c>
      <c r="JI73" s="12">
        <v>5</v>
      </c>
      <c r="JJ73" s="13" t="s">
        <v>620</v>
      </c>
      <c r="JK73" s="13" t="s">
        <v>620</v>
      </c>
      <c r="JL73" s="13" t="s">
        <v>296</v>
      </c>
      <c r="JM73" s="89"/>
      <c r="JN73" s="89"/>
      <c r="JO73" s="89" t="s">
        <v>296</v>
      </c>
      <c r="JP73" s="89"/>
      <c r="JQ73" s="89"/>
      <c r="JR73" s="89" t="s">
        <v>296</v>
      </c>
      <c r="JS73" s="89" t="s">
        <v>619</v>
      </c>
      <c r="JT73" s="89" t="s">
        <v>620</v>
      </c>
      <c r="JU73" s="89" t="s">
        <v>296</v>
      </c>
      <c r="JV73" s="89"/>
      <c r="JW73" s="89"/>
      <c r="JX73" s="89" t="s">
        <v>296</v>
      </c>
      <c r="JY73" s="12" t="s">
        <v>619</v>
      </c>
      <c r="JZ73" s="12" t="s">
        <v>34</v>
      </c>
      <c r="KA73" s="12" t="s">
        <v>34</v>
      </c>
      <c r="KB73" s="12" t="s">
        <v>34</v>
      </c>
      <c r="KC73" s="12" t="s">
        <v>619</v>
      </c>
      <c r="KD73" s="12" t="s">
        <v>619</v>
      </c>
      <c r="KE73" s="12" t="s">
        <v>34</v>
      </c>
      <c r="KF73" s="12"/>
      <c r="KG73" s="12" t="s">
        <v>34</v>
      </c>
      <c r="KH73" s="12" t="s">
        <v>34</v>
      </c>
      <c r="KI73" s="12" t="s">
        <v>34</v>
      </c>
      <c r="KJ73" s="12" t="s">
        <v>34</v>
      </c>
      <c r="KK73" s="12" t="s">
        <v>34</v>
      </c>
      <c r="KL73" s="12" t="s">
        <v>34</v>
      </c>
      <c r="KM73" s="12" t="s">
        <v>34</v>
      </c>
      <c r="KN73" s="12" t="s">
        <v>619</v>
      </c>
      <c r="KO73" s="12" t="s">
        <v>34</v>
      </c>
      <c r="KP73" s="12" t="s">
        <v>34</v>
      </c>
      <c r="KQ73" s="12" t="s">
        <v>619</v>
      </c>
      <c r="KR73" s="12" t="s">
        <v>34</v>
      </c>
      <c r="KS73" s="12" t="s">
        <v>34</v>
      </c>
      <c r="KT73" s="12" t="s">
        <v>34</v>
      </c>
      <c r="KU73" s="12" t="s">
        <v>34</v>
      </c>
      <c r="KV73" s="12" t="s">
        <v>34</v>
      </c>
      <c r="KW73" s="12" t="s">
        <v>34</v>
      </c>
      <c r="KX73" s="12" t="s">
        <v>34</v>
      </c>
      <c r="KY73" s="12" t="s">
        <v>34</v>
      </c>
      <c r="KZ73" s="12" t="s">
        <v>34</v>
      </c>
      <c r="LA73" s="12" t="s">
        <v>34</v>
      </c>
      <c r="LB73" s="12" t="s">
        <v>619</v>
      </c>
      <c r="LC73" s="12" t="s">
        <v>34</v>
      </c>
      <c r="LD73" s="12" t="s">
        <v>34</v>
      </c>
      <c r="LE73" s="12" t="s">
        <v>34</v>
      </c>
      <c r="LF73" s="12" t="s">
        <v>34</v>
      </c>
      <c r="LG73" s="12" t="s">
        <v>34</v>
      </c>
      <c r="LH73" s="12" t="s">
        <v>34</v>
      </c>
      <c r="LI73" s="12" t="s">
        <v>619</v>
      </c>
      <c r="LJ73" s="12" t="s">
        <v>619</v>
      </c>
      <c r="LK73" s="12" t="s">
        <v>34</v>
      </c>
      <c r="LL73" s="13" t="s">
        <v>34</v>
      </c>
      <c r="LM73" s="13" t="s">
        <v>34</v>
      </c>
      <c r="LN73" s="13" t="s">
        <v>34</v>
      </c>
      <c r="LO73" s="13" t="s">
        <v>34</v>
      </c>
      <c r="LP73" s="90" t="s">
        <v>34</v>
      </c>
      <c r="LQ73" s="13" t="s">
        <v>34</v>
      </c>
      <c r="LR73" s="13" t="s">
        <v>34</v>
      </c>
      <c r="LS73" s="13"/>
      <c r="LT73" s="13" t="s">
        <v>34</v>
      </c>
      <c r="LU73" s="13" t="s">
        <v>34</v>
      </c>
      <c r="LV73" s="13" t="s">
        <v>34</v>
      </c>
      <c r="LW73" s="13" t="s">
        <v>34</v>
      </c>
      <c r="LX73" s="13" t="s">
        <v>34</v>
      </c>
      <c r="LY73" s="13" t="s">
        <v>34</v>
      </c>
      <c r="LZ73" s="13" t="s">
        <v>34</v>
      </c>
      <c r="MA73" s="13" t="s">
        <v>34</v>
      </c>
      <c r="MB73" s="13" t="s">
        <v>34</v>
      </c>
      <c r="MC73" s="13" t="s">
        <v>34</v>
      </c>
      <c r="MD73" s="13" t="s">
        <v>34</v>
      </c>
      <c r="ME73" s="13" t="s">
        <v>34</v>
      </c>
      <c r="MF73" s="13" t="s">
        <v>34</v>
      </c>
      <c r="MG73" s="13" t="s">
        <v>34</v>
      </c>
      <c r="MH73" s="13" t="s">
        <v>34</v>
      </c>
      <c r="MI73" s="13" t="s">
        <v>34</v>
      </c>
      <c r="MJ73" s="13" t="s">
        <v>34</v>
      </c>
      <c r="MK73" s="13" t="s">
        <v>34</v>
      </c>
      <c r="ML73" s="13" t="s">
        <v>34</v>
      </c>
      <c r="MM73" s="13" t="s">
        <v>34</v>
      </c>
      <c r="MN73" s="13" t="s">
        <v>34</v>
      </c>
      <c r="MO73" s="13" t="s">
        <v>34</v>
      </c>
      <c r="MP73" s="13" t="s">
        <v>34</v>
      </c>
      <c r="MQ73" s="13" t="s">
        <v>619</v>
      </c>
      <c r="MR73" s="13" t="s">
        <v>34</v>
      </c>
      <c r="MS73" s="13" t="s">
        <v>34</v>
      </c>
      <c r="MT73" s="13" t="s">
        <v>34</v>
      </c>
      <c r="MU73" s="13" t="s">
        <v>34</v>
      </c>
      <c r="MV73" s="13" t="s">
        <v>34</v>
      </c>
      <c r="MW73" s="13" t="s">
        <v>34</v>
      </c>
      <c r="MX73" s="13" t="s">
        <v>34</v>
      </c>
      <c r="MY73" s="28" t="s">
        <v>296</v>
      </c>
      <c r="MZ73" s="28" t="s">
        <v>296</v>
      </c>
      <c r="NA73" s="28" t="s">
        <v>296</v>
      </c>
      <c r="NB73" s="28" t="s">
        <v>297</v>
      </c>
      <c r="NC73" s="28" t="s">
        <v>296</v>
      </c>
      <c r="ND73" s="28" t="s">
        <v>296</v>
      </c>
      <c r="NE73" s="28" t="s">
        <v>296</v>
      </c>
      <c r="NF73" s="28" t="s">
        <v>296</v>
      </c>
      <c r="NG73" s="28" t="s">
        <v>297</v>
      </c>
      <c r="NH73" s="28" t="s">
        <v>297</v>
      </c>
      <c r="NI73" s="177" t="s">
        <v>296</v>
      </c>
      <c r="NJ73" s="177" t="s">
        <v>297</v>
      </c>
      <c r="NK73" s="177" t="s">
        <v>296</v>
      </c>
      <c r="NL73" s="177" t="s">
        <v>296</v>
      </c>
      <c r="NM73" s="177" t="s">
        <v>296</v>
      </c>
      <c r="NN73" s="177" t="s">
        <v>296</v>
      </c>
      <c r="NO73" s="177" t="s">
        <v>297</v>
      </c>
      <c r="NP73" s="177" t="s">
        <v>296</v>
      </c>
      <c r="NQ73" s="177" t="s">
        <v>296</v>
      </c>
      <c r="NR73" s="12" t="s">
        <v>34</v>
      </c>
      <c r="NS73" s="13" t="s">
        <v>34</v>
      </c>
    </row>
    <row r="74" spans="1:383" x14ac:dyDescent="0.25">
      <c r="A74" s="8" t="s">
        <v>188</v>
      </c>
      <c r="B74" s="9" t="s">
        <v>189</v>
      </c>
      <c r="C74" s="9">
        <v>52</v>
      </c>
      <c r="D74" s="9" t="s">
        <v>133</v>
      </c>
      <c r="E74" s="10">
        <v>102</v>
      </c>
      <c r="F74" s="10">
        <v>103</v>
      </c>
      <c r="G74" s="10">
        <v>88</v>
      </c>
      <c r="H74" s="10">
        <v>82</v>
      </c>
      <c r="I74" s="10">
        <v>50</v>
      </c>
      <c r="J74" s="11">
        <v>195</v>
      </c>
      <c r="K74" s="11">
        <v>189</v>
      </c>
      <c r="L74" s="11">
        <v>175</v>
      </c>
      <c r="M74" s="11">
        <v>201</v>
      </c>
      <c r="N74" s="11">
        <v>158</v>
      </c>
      <c r="O74" s="13">
        <v>3756</v>
      </c>
      <c r="P74" s="13">
        <v>3542</v>
      </c>
      <c r="Q74" s="13">
        <v>2782</v>
      </c>
      <c r="R74" s="13">
        <v>2805</v>
      </c>
      <c r="S74" s="13">
        <v>1543</v>
      </c>
      <c r="T74" s="12">
        <v>754</v>
      </c>
      <c r="U74" s="12">
        <v>868</v>
      </c>
      <c r="V74" s="12">
        <v>502</v>
      </c>
      <c r="W74" s="12">
        <v>1008</v>
      </c>
      <c r="X74" s="12">
        <v>708</v>
      </c>
      <c r="Y74" s="12">
        <v>5.2</v>
      </c>
      <c r="Z74" s="12">
        <v>5.2</v>
      </c>
      <c r="AA74" s="12">
        <v>5.2</v>
      </c>
      <c r="AB74" s="13">
        <v>4.5</v>
      </c>
      <c r="AC74" s="13">
        <v>4.5</v>
      </c>
      <c r="AD74" s="13">
        <v>5</v>
      </c>
      <c r="AE74" s="35" t="s">
        <v>259</v>
      </c>
      <c r="AF74" s="35" t="s">
        <v>259</v>
      </c>
      <c r="AG74" s="35" t="s">
        <v>259</v>
      </c>
      <c r="AH74" s="38">
        <v>1</v>
      </c>
      <c r="AI74" s="38">
        <v>1</v>
      </c>
      <c r="AJ74" s="38">
        <v>1</v>
      </c>
      <c r="AK74" s="45" t="s">
        <v>34</v>
      </c>
      <c r="AL74" s="45" t="s">
        <v>34</v>
      </c>
      <c r="AM74" s="45" t="s">
        <v>34</v>
      </c>
      <c r="AN74" s="45" t="s">
        <v>293</v>
      </c>
      <c r="AO74" s="45" t="s">
        <v>34</v>
      </c>
      <c r="AP74" s="45" t="s">
        <v>292</v>
      </c>
      <c r="AQ74" s="53" t="s">
        <v>296</v>
      </c>
      <c r="AR74" s="56">
        <v>33</v>
      </c>
      <c r="AS74" s="57">
        <v>25</v>
      </c>
      <c r="AT74" s="56">
        <v>12</v>
      </c>
      <c r="AU74" s="57">
        <v>4768</v>
      </c>
      <c r="AV74" s="57">
        <v>3374</v>
      </c>
      <c r="AW74" s="57">
        <v>450</v>
      </c>
      <c r="AX74" s="57">
        <v>3</v>
      </c>
      <c r="AY74" s="57">
        <v>2</v>
      </c>
      <c r="AZ74" s="57">
        <v>0</v>
      </c>
      <c r="BA74" s="57">
        <v>52</v>
      </c>
      <c r="BB74" s="57">
        <v>5</v>
      </c>
      <c r="BC74" s="57">
        <v>19</v>
      </c>
      <c r="BD74" s="57">
        <v>0</v>
      </c>
      <c r="BE74" s="57">
        <v>0</v>
      </c>
      <c r="BF74" s="57">
        <v>288</v>
      </c>
      <c r="BG74" s="57">
        <v>294</v>
      </c>
      <c r="BH74" s="57">
        <v>81</v>
      </c>
      <c r="BI74" s="57">
        <v>60</v>
      </c>
      <c r="BJ74" s="57" t="s">
        <v>297</v>
      </c>
      <c r="BK74" s="57">
        <v>15</v>
      </c>
      <c r="BL74" s="57">
        <v>0</v>
      </c>
      <c r="BM74" s="57">
        <v>0</v>
      </c>
      <c r="BN74" s="57">
        <v>0</v>
      </c>
      <c r="BO74" s="57">
        <v>1334</v>
      </c>
      <c r="BP74" s="57">
        <v>468</v>
      </c>
      <c r="BQ74" s="76">
        <v>406</v>
      </c>
      <c r="BR74" s="76">
        <v>406</v>
      </c>
      <c r="BS74">
        <v>403</v>
      </c>
      <c r="BT74">
        <v>403</v>
      </c>
      <c r="BU74">
        <v>402</v>
      </c>
      <c r="BV74">
        <v>48968</v>
      </c>
      <c r="BW74">
        <v>48336</v>
      </c>
      <c r="BX74">
        <v>47650</v>
      </c>
      <c r="BY74">
        <v>46842</v>
      </c>
      <c r="BZ74">
        <v>45712</v>
      </c>
      <c r="CA74">
        <v>102</v>
      </c>
      <c r="CB74">
        <v>101</v>
      </c>
      <c r="CC74">
        <v>89</v>
      </c>
      <c r="CD74">
        <v>82</v>
      </c>
      <c r="CE74">
        <v>50</v>
      </c>
      <c r="CF74">
        <v>4510</v>
      </c>
      <c r="CG74">
        <v>4410</v>
      </c>
      <c r="CH74">
        <v>3284</v>
      </c>
      <c r="CI74">
        <v>3813</v>
      </c>
      <c r="CJ74">
        <v>2251</v>
      </c>
      <c r="CK74" s="10">
        <v>34</v>
      </c>
      <c r="CL74" s="10">
        <v>34</v>
      </c>
      <c r="CM74" s="10">
        <v>34</v>
      </c>
      <c r="CN74" s="11">
        <v>20</v>
      </c>
      <c r="CO74" s="11">
        <v>20</v>
      </c>
      <c r="CP74" s="11">
        <v>20</v>
      </c>
      <c r="CQ74" s="13">
        <v>0</v>
      </c>
      <c r="CR74" s="13">
        <v>2</v>
      </c>
      <c r="CS74" s="13">
        <v>0</v>
      </c>
      <c r="CT74" s="10">
        <v>0</v>
      </c>
      <c r="CU74" s="10">
        <v>0</v>
      </c>
      <c r="CV74" s="10">
        <v>0</v>
      </c>
      <c r="CW74" s="10">
        <v>0</v>
      </c>
      <c r="CX74" s="10">
        <v>0</v>
      </c>
      <c r="CY74" s="10">
        <v>0</v>
      </c>
      <c r="CZ74" s="10">
        <v>0</v>
      </c>
      <c r="DA74" s="10">
        <v>0</v>
      </c>
      <c r="DB74" s="10">
        <v>0</v>
      </c>
      <c r="DC74" s="10">
        <v>0</v>
      </c>
      <c r="DD74" s="10">
        <v>0</v>
      </c>
      <c r="DE74" s="10">
        <v>0</v>
      </c>
      <c r="DF74" s="10">
        <v>0</v>
      </c>
      <c r="DG74" s="10">
        <v>0</v>
      </c>
      <c r="DH74" s="10">
        <v>0</v>
      </c>
      <c r="DI74" s="81">
        <v>0</v>
      </c>
      <c r="DJ74" s="81">
        <v>0</v>
      </c>
      <c r="DK74" s="81">
        <v>0</v>
      </c>
      <c r="DL74" s="81">
        <v>0</v>
      </c>
      <c r="DM74" s="81">
        <v>0</v>
      </c>
      <c r="DN74" s="12">
        <v>0</v>
      </c>
      <c r="DO74" s="12">
        <v>0</v>
      </c>
      <c r="DP74" s="12">
        <v>0</v>
      </c>
      <c r="DQ74" s="12">
        <v>0</v>
      </c>
      <c r="DR74" s="12">
        <v>0</v>
      </c>
      <c r="DS74" s="12">
        <v>0</v>
      </c>
      <c r="DT74" s="12">
        <v>0</v>
      </c>
      <c r="DU74" s="12">
        <v>0</v>
      </c>
      <c r="DV74" s="12">
        <v>0</v>
      </c>
      <c r="DW74" s="12">
        <v>0</v>
      </c>
      <c r="DX74" s="12">
        <v>0</v>
      </c>
      <c r="DY74" s="12">
        <v>0</v>
      </c>
      <c r="DZ74" s="12">
        <v>0</v>
      </c>
      <c r="EA74" s="12">
        <v>0</v>
      </c>
      <c r="EB74" s="12">
        <v>0</v>
      </c>
      <c r="EC74" s="12">
        <v>0</v>
      </c>
      <c r="ED74" s="12">
        <v>0</v>
      </c>
      <c r="EE74" s="12">
        <v>0</v>
      </c>
      <c r="EF74" s="12">
        <v>0</v>
      </c>
      <c r="EG74" s="12">
        <v>0</v>
      </c>
      <c r="EH74" s="12">
        <v>0</v>
      </c>
      <c r="EI74" s="12">
        <v>0</v>
      </c>
      <c r="EJ74" s="12">
        <v>0</v>
      </c>
      <c r="EK74" s="12">
        <v>0</v>
      </c>
      <c r="EL74" s="12">
        <v>0</v>
      </c>
      <c r="EM74" s="12">
        <v>0</v>
      </c>
      <c r="EN74" s="12">
        <v>0</v>
      </c>
      <c r="EO74" s="12">
        <v>0</v>
      </c>
      <c r="EP74" s="12">
        <v>0</v>
      </c>
      <c r="EQ74" s="12">
        <v>1</v>
      </c>
      <c r="ER74" s="12">
        <v>0</v>
      </c>
      <c r="ES74" s="13">
        <v>0</v>
      </c>
      <c r="ET74" s="13">
        <v>8</v>
      </c>
      <c r="EU74" s="13">
        <v>0</v>
      </c>
      <c r="EV74" s="10">
        <v>0</v>
      </c>
      <c r="EW74" s="10">
        <v>0</v>
      </c>
      <c r="EX74" s="10">
        <v>0</v>
      </c>
      <c r="EY74" s="10">
        <v>0</v>
      </c>
      <c r="EZ74" s="10">
        <v>3</v>
      </c>
      <c r="FA74" s="10">
        <v>0</v>
      </c>
      <c r="FB74" s="10">
        <v>0</v>
      </c>
      <c r="FC74" s="10">
        <v>0</v>
      </c>
      <c r="FD74" s="10">
        <v>0</v>
      </c>
      <c r="FE74" s="10">
        <v>0</v>
      </c>
      <c r="FF74" s="10">
        <v>0</v>
      </c>
      <c r="FG74" s="10">
        <v>0</v>
      </c>
      <c r="FH74" s="10">
        <v>0</v>
      </c>
      <c r="FI74" s="10">
        <v>0</v>
      </c>
      <c r="FJ74" s="10">
        <v>0</v>
      </c>
      <c r="FK74" s="81">
        <v>0</v>
      </c>
      <c r="FL74" s="81">
        <v>0</v>
      </c>
      <c r="FM74" s="81">
        <v>0</v>
      </c>
      <c r="FN74" s="81">
        <v>0</v>
      </c>
      <c r="FO74" s="81">
        <v>0</v>
      </c>
      <c r="FP74" s="12">
        <v>0</v>
      </c>
      <c r="FQ74" s="12">
        <v>0</v>
      </c>
      <c r="FR74" s="12">
        <v>0</v>
      </c>
      <c r="FS74" s="12">
        <v>0</v>
      </c>
      <c r="FT74" s="12">
        <v>0</v>
      </c>
      <c r="FU74" s="12">
        <v>0</v>
      </c>
      <c r="FV74" s="12">
        <v>0</v>
      </c>
      <c r="FW74" s="12">
        <v>0</v>
      </c>
      <c r="FX74" s="12">
        <v>0</v>
      </c>
      <c r="FY74" s="12">
        <v>0</v>
      </c>
      <c r="FZ74" s="12">
        <v>1</v>
      </c>
      <c r="GA74" s="12">
        <v>0</v>
      </c>
      <c r="GB74" s="12">
        <v>0</v>
      </c>
      <c r="GC74" s="12">
        <v>0</v>
      </c>
      <c r="GD74" s="12">
        <v>0</v>
      </c>
      <c r="GE74" s="12">
        <v>0</v>
      </c>
      <c r="GF74" s="12">
        <v>0</v>
      </c>
      <c r="GG74" s="12">
        <v>0</v>
      </c>
      <c r="GH74" s="12">
        <v>0</v>
      </c>
      <c r="GI74" s="12">
        <v>0</v>
      </c>
      <c r="GJ74" s="12">
        <v>0</v>
      </c>
      <c r="GK74" s="12">
        <v>0</v>
      </c>
      <c r="GL74" s="12">
        <v>0</v>
      </c>
      <c r="GM74" s="12">
        <v>0</v>
      </c>
      <c r="GN74" s="12">
        <v>1</v>
      </c>
      <c r="GO74" s="12">
        <v>0</v>
      </c>
      <c r="GP74" s="12">
        <v>0</v>
      </c>
      <c r="GQ74" s="12">
        <v>0</v>
      </c>
      <c r="GR74" s="12">
        <v>0</v>
      </c>
      <c r="GS74" s="12">
        <v>0</v>
      </c>
      <c r="GT74" s="12">
        <v>0</v>
      </c>
      <c r="GU74" s="13">
        <v>25</v>
      </c>
      <c r="GV74" s="13">
        <v>2</v>
      </c>
      <c r="GW74" s="13">
        <v>0</v>
      </c>
      <c r="GX74" s="13">
        <v>0</v>
      </c>
      <c r="GY74" s="10">
        <v>0</v>
      </c>
      <c r="GZ74" s="10">
        <v>0</v>
      </c>
      <c r="HA74" s="10">
        <v>0</v>
      </c>
      <c r="HB74" s="10">
        <v>7</v>
      </c>
      <c r="HC74" s="10">
        <v>2</v>
      </c>
      <c r="HD74" s="10">
        <v>0</v>
      </c>
      <c r="HE74" s="10">
        <v>0</v>
      </c>
      <c r="HF74" s="10">
        <v>0</v>
      </c>
      <c r="HG74" s="10">
        <v>0</v>
      </c>
      <c r="HH74" s="10">
        <v>0</v>
      </c>
      <c r="HI74" s="10">
        <v>0</v>
      </c>
      <c r="HJ74" s="10">
        <v>0</v>
      </c>
      <c r="HK74" s="10">
        <v>0</v>
      </c>
      <c r="HL74" s="10">
        <v>0</v>
      </c>
      <c r="HM74" s="10">
        <v>0</v>
      </c>
      <c r="HN74" s="81">
        <v>0</v>
      </c>
      <c r="HO74" s="81">
        <v>0</v>
      </c>
      <c r="HP74" s="81">
        <v>0</v>
      </c>
      <c r="HQ74" s="81">
        <v>0</v>
      </c>
      <c r="HR74" s="81">
        <v>0</v>
      </c>
      <c r="HS74" s="12">
        <v>0</v>
      </c>
      <c r="HT74" s="12">
        <v>0</v>
      </c>
      <c r="HU74" s="12">
        <v>0</v>
      </c>
      <c r="HV74" s="12">
        <v>0</v>
      </c>
      <c r="HW74" s="12">
        <v>0</v>
      </c>
      <c r="HX74" s="12">
        <v>0</v>
      </c>
      <c r="HY74" s="12">
        <v>0</v>
      </c>
      <c r="HZ74" s="12">
        <v>0</v>
      </c>
      <c r="IA74" s="12">
        <v>0</v>
      </c>
      <c r="IB74" s="12">
        <v>0</v>
      </c>
      <c r="IC74" s="12">
        <v>0</v>
      </c>
      <c r="ID74" s="12">
        <v>0</v>
      </c>
      <c r="IE74" s="12">
        <v>0</v>
      </c>
      <c r="IF74" s="12">
        <v>0</v>
      </c>
      <c r="IG74" s="12">
        <v>0</v>
      </c>
      <c r="IH74" s="12">
        <v>0</v>
      </c>
      <c r="II74" s="12">
        <v>0</v>
      </c>
      <c r="IJ74" s="12">
        <v>0</v>
      </c>
      <c r="IK74" s="12">
        <v>0</v>
      </c>
      <c r="IL74" s="12">
        <v>0</v>
      </c>
      <c r="IM74" s="12">
        <v>0</v>
      </c>
      <c r="IN74" s="12">
        <v>0</v>
      </c>
      <c r="IO74" s="12">
        <v>0</v>
      </c>
      <c r="IP74" s="12">
        <v>0</v>
      </c>
      <c r="IQ74" s="12">
        <v>0</v>
      </c>
      <c r="IR74" s="12">
        <v>0</v>
      </c>
      <c r="IS74" s="12">
        <v>0</v>
      </c>
      <c r="IT74" s="12">
        <v>0</v>
      </c>
      <c r="IU74" s="12">
        <v>0</v>
      </c>
      <c r="IV74" s="12">
        <v>0</v>
      </c>
      <c r="IW74" s="12">
        <v>0</v>
      </c>
      <c r="IX74" s="11">
        <v>6800</v>
      </c>
      <c r="IY74" s="11">
        <v>6800</v>
      </c>
      <c r="IZ74" s="11">
        <v>6800</v>
      </c>
      <c r="JA74" s="85">
        <v>0</v>
      </c>
      <c r="JB74" s="85">
        <v>0</v>
      </c>
      <c r="JC74" s="85">
        <v>0</v>
      </c>
      <c r="JD74" s="12">
        <v>10</v>
      </c>
      <c r="JE74" s="12">
        <v>10</v>
      </c>
      <c r="JF74" s="12">
        <v>10</v>
      </c>
      <c r="JG74" s="12">
        <v>10</v>
      </c>
      <c r="JH74" s="12">
        <v>10</v>
      </c>
      <c r="JI74" s="12">
        <v>10</v>
      </c>
      <c r="JJ74" s="13" t="s">
        <v>620</v>
      </c>
      <c r="JK74" s="13" t="s">
        <v>620</v>
      </c>
      <c r="JL74" s="13" t="s">
        <v>296</v>
      </c>
      <c r="JM74" s="89"/>
      <c r="JN74" s="89"/>
      <c r="JO74" s="89" t="s">
        <v>297</v>
      </c>
      <c r="JP74" s="89"/>
      <c r="JQ74" s="89"/>
      <c r="JR74" s="89" t="s">
        <v>296</v>
      </c>
      <c r="JS74" s="89" t="s">
        <v>619</v>
      </c>
      <c r="JT74" s="89" t="s">
        <v>620</v>
      </c>
      <c r="JU74" s="89" t="s">
        <v>296</v>
      </c>
      <c r="JV74" s="89"/>
      <c r="JW74" s="89"/>
      <c r="JX74" s="89" t="s">
        <v>297</v>
      </c>
      <c r="JY74" s="12" t="s">
        <v>34</v>
      </c>
      <c r="JZ74" s="12" t="s">
        <v>34</v>
      </c>
      <c r="KA74" s="12" t="s">
        <v>34</v>
      </c>
      <c r="KB74" s="12" t="s">
        <v>34</v>
      </c>
      <c r="KC74" s="12" t="s">
        <v>619</v>
      </c>
      <c r="KD74" s="12" t="s">
        <v>34</v>
      </c>
      <c r="KE74" s="12" t="s">
        <v>34</v>
      </c>
      <c r="KF74" s="12"/>
      <c r="KG74" s="12" t="s">
        <v>34</v>
      </c>
      <c r="KH74" s="12" t="s">
        <v>34</v>
      </c>
      <c r="KI74" s="12" t="s">
        <v>34</v>
      </c>
      <c r="KJ74" s="12" t="s">
        <v>34</v>
      </c>
      <c r="KK74" s="12" t="s">
        <v>34</v>
      </c>
      <c r="KL74" s="12" t="s">
        <v>34</v>
      </c>
      <c r="KM74" s="12" t="s">
        <v>619</v>
      </c>
      <c r="KN74" s="12" t="s">
        <v>619</v>
      </c>
      <c r="KO74" s="12" t="s">
        <v>619</v>
      </c>
      <c r="KP74" s="12" t="s">
        <v>34</v>
      </c>
      <c r="KQ74" s="12" t="s">
        <v>619</v>
      </c>
      <c r="KR74" s="12" t="s">
        <v>619</v>
      </c>
      <c r="KS74" s="12" t="s">
        <v>34</v>
      </c>
      <c r="KT74" s="12" t="s">
        <v>34</v>
      </c>
      <c r="KU74" s="12" t="s">
        <v>34</v>
      </c>
      <c r="KV74" s="12" t="s">
        <v>34</v>
      </c>
      <c r="KW74" s="12" t="s">
        <v>34</v>
      </c>
      <c r="KX74" s="12" t="s">
        <v>34</v>
      </c>
      <c r="KY74" s="12" t="s">
        <v>619</v>
      </c>
      <c r="KZ74" s="12" t="s">
        <v>34</v>
      </c>
      <c r="LA74" s="12" t="s">
        <v>34</v>
      </c>
      <c r="LB74" s="12" t="s">
        <v>619</v>
      </c>
      <c r="LC74" s="12" t="s">
        <v>34</v>
      </c>
      <c r="LD74" s="12" t="s">
        <v>34</v>
      </c>
      <c r="LE74" s="12" t="s">
        <v>34</v>
      </c>
      <c r="LF74" s="12" t="s">
        <v>34</v>
      </c>
      <c r="LG74" s="12" t="s">
        <v>34</v>
      </c>
      <c r="LH74" s="12" t="s">
        <v>34</v>
      </c>
      <c r="LI74" s="12" t="s">
        <v>619</v>
      </c>
      <c r="LJ74" s="12" t="s">
        <v>619</v>
      </c>
      <c r="LK74" s="12" t="s">
        <v>34</v>
      </c>
      <c r="LL74" s="13" t="s">
        <v>34</v>
      </c>
      <c r="LM74" s="13" t="s">
        <v>34</v>
      </c>
      <c r="LN74" s="13" t="s">
        <v>34</v>
      </c>
      <c r="LO74" s="13" t="s">
        <v>34</v>
      </c>
      <c r="LP74" s="90" t="s">
        <v>619</v>
      </c>
      <c r="LQ74" s="13" t="s">
        <v>34</v>
      </c>
      <c r="LR74" s="13" t="s">
        <v>34</v>
      </c>
      <c r="LS74" s="13"/>
      <c r="LT74" s="13" t="s">
        <v>34</v>
      </c>
      <c r="LU74" s="13" t="s">
        <v>34</v>
      </c>
      <c r="LV74" s="13" t="s">
        <v>34</v>
      </c>
      <c r="LW74" s="13" t="s">
        <v>34</v>
      </c>
      <c r="LX74" s="13" t="s">
        <v>34</v>
      </c>
      <c r="LY74" s="13" t="s">
        <v>34</v>
      </c>
      <c r="LZ74" s="13" t="s">
        <v>619</v>
      </c>
      <c r="MA74" s="13" t="s">
        <v>619</v>
      </c>
      <c r="MB74" s="13" t="s">
        <v>619</v>
      </c>
      <c r="MC74" s="13" t="s">
        <v>34</v>
      </c>
      <c r="MD74" s="13" t="s">
        <v>619</v>
      </c>
      <c r="ME74" s="13" t="s">
        <v>34</v>
      </c>
      <c r="MF74" s="13" t="s">
        <v>34</v>
      </c>
      <c r="MG74" s="13" t="s">
        <v>34</v>
      </c>
      <c r="MH74" s="13" t="s">
        <v>34</v>
      </c>
      <c r="MI74" s="13" t="s">
        <v>34</v>
      </c>
      <c r="MJ74" s="13" t="s">
        <v>34</v>
      </c>
      <c r="MK74" s="13" t="s">
        <v>34</v>
      </c>
      <c r="ML74" s="13" t="s">
        <v>619</v>
      </c>
      <c r="MM74" s="13" t="s">
        <v>34</v>
      </c>
      <c r="MN74" s="13" t="s">
        <v>34</v>
      </c>
      <c r="MO74" s="13" t="s">
        <v>619</v>
      </c>
      <c r="MP74" s="13" t="s">
        <v>34</v>
      </c>
      <c r="MQ74" s="13" t="s">
        <v>34</v>
      </c>
      <c r="MR74" s="13" t="s">
        <v>34</v>
      </c>
      <c r="MS74" s="13" t="s">
        <v>34</v>
      </c>
      <c r="MT74" s="13" t="s">
        <v>34</v>
      </c>
      <c r="MU74" s="13" t="s">
        <v>34</v>
      </c>
      <c r="MV74" s="13" t="s">
        <v>34</v>
      </c>
      <c r="MW74" s="13" t="s">
        <v>619</v>
      </c>
      <c r="MX74" s="13" t="s">
        <v>34</v>
      </c>
      <c r="MY74" s="28" t="s">
        <v>296</v>
      </c>
      <c r="MZ74" s="28" t="s">
        <v>296</v>
      </c>
      <c r="NA74" s="28" t="s">
        <v>296</v>
      </c>
      <c r="NB74" s="28" t="s">
        <v>297</v>
      </c>
      <c r="NC74" s="28" t="s">
        <v>296</v>
      </c>
      <c r="ND74" s="28" t="s">
        <v>297</v>
      </c>
      <c r="NE74" s="28" t="s">
        <v>296</v>
      </c>
      <c r="NF74" s="28" t="s">
        <v>297</v>
      </c>
      <c r="NG74" s="28" t="s">
        <v>297</v>
      </c>
      <c r="NH74" s="28" t="s">
        <v>297</v>
      </c>
      <c r="NI74" s="177" t="s">
        <v>296</v>
      </c>
      <c r="NJ74" s="177" t="s">
        <v>297</v>
      </c>
      <c r="NK74" s="177" t="s">
        <v>296</v>
      </c>
      <c r="NL74" s="177" t="s">
        <v>297</v>
      </c>
      <c r="NM74" s="177" t="s">
        <v>296</v>
      </c>
      <c r="NN74" s="177" t="s">
        <v>296</v>
      </c>
      <c r="NO74" s="177" t="s">
        <v>296</v>
      </c>
      <c r="NP74" s="177" t="s">
        <v>296</v>
      </c>
      <c r="NQ74" s="177" t="s">
        <v>296</v>
      </c>
      <c r="NR74" s="12" t="s">
        <v>34</v>
      </c>
      <c r="NS74" s="13" t="s">
        <v>34</v>
      </c>
    </row>
    <row r="75" spans="1:383" x14ac:dyDescent="0.25">
      <c r="A75" s="8" t="s">
        <v>190</v>
      </c>
      <c r="B75" s="9" t="s">
        <v>191</v>
      </c>
      <c r="C75" s="9">
        <v>84</v>
      </c>
      <c r="D75" s="9" t="s">
        <v>33</v>
      </c>
      <c r="E75" s="10">
        <v>149</v>
      </c>
      <c r="F75" s="10">
        <v>137</v>
      </c>
      <c r="G75" s="10">
        <v>137</v>
      </c>
      <c r="H75" s="10">
        <v>113</v>
      </c>
      <c r="I75" s="10">
        <v>35</v>
      </c>
      <c r="J75" s="11">
        <v>285</v>
      </c>
      <c r="K75" s="11">
        <v>263</v>
      </c>
      <c r="L75" s="11">
        <v>305</v>
      </c>
      <c r="M75" s="11">
        <v>207</v>
      </c>
      <c r="N75" s="11">
        <v>67</v>
      </c>
      <c r="O75" s="13">
        <v>3899</v>
      </c>
      <c r="P75" s="13">
        <v>3605</v>
      </c>
      <c r="Q75" s="13">
        <v>3311</v>
      </c>
      <c r="R75" s="13">
        <v>3054</v>
      </c>
      <c r="S75" s="13">
        <v>602</v>
      </c>
      <c r="T75" s="12">
        <v>926</v>
      </c>
      <c r="U75" s="12">
        <v>698</v>
      </c>
      <c r="V75" s="12">
        <v>888</v>
      </c>
      <c r="W75" s="12">
        <v>765</v>
      </c>
      <c r="X75" s="12">
        <v>64</v>
      </c>
      <c r="Y75" s="12">
        <v>6.15</v>
      </c>
      <c r="Z75" s="12">
        <v>6.15</v>
      </c>
      <c r="AA75" s="12">
        <v>6.15</v>
      </c>
      <c r="AB75" s="13">
        <v>5.55</v>
      </c>
      <c r="AC75" s="13">
        <v>5.55</v>
      </c>
      <c r="AD75" s="13">
        <v>5.55</v>
      </c>
      <c r="AE75" s="35" t="s">
        <v>258</v>
      </c>
      <c r="AF75" s="35" t="s">
        <v>258</v>
      </c>
      <c r="AG75" s="35" t="s">
        <v>258</v>
      </c>
      <c r="AH75" s="38">
        <v>0.75</v>
      </c>
      <c r="AI75" s="38">
        <v>0.75</v>
      </c>
      <c r="AJ75" s="38">
        <v>0.75</v>
      </c>
      <c r="AK75" s="45" t="s">
        <v>288</v>
      </c>
      <c r="AL75" s="45" t="s">
        <v>34</v>
      </c>
      <c r="AM75" s="45" t="s">
        <v>290</v>
      </c>
      <c r="AN75" s="45" t="s">
        <v>34</v>
      </c>
      <c r="AO75" s="45" t="s">
        <v>34</v>
      </c>
      <c r="AP75" s="45" t="s">
        <v>34</v>
      </c>
      <c r="AQ75" s="53" t="s">
        <v>297</v>
      </c>
      <c r="AR75" s="56">
        <v>93</v>
      </c>
      <c r="AS75" s="57">
        <v>29</v>
      </c>
      <c r="AT75" s="56">
        <v>6</v>
      </c>
      <c r="AU75" s="57">
        <v>22144</v>
      </c>
      <c r="AV75" s="57">
        <v>5913</v>
      </c>
      <c r="AW75" s="57">
        <v>532</v>
      </c>
      <c r="AX75" s="57">
        <v>5</v>
      </c>
      <c r="AY75" s="57">
        <v>9</v>
      </c>
      <c r="AZ75" s="57">
        <v>0</v>
      </c>
      <c r="BA75" s="57">
        <v>4808</v>
      </c>
      <c r="BB75" s="57">
        <v>3859</v>
      </c>
      <c r="BC75" s="57">
        <v>8109</v>
      </c>
      <c r="BD75" s="57">
        <v>774</v>
      </c>
      <c r="BE75" s="57">
        <v>2614</v>
      </c>
      <c r="BF75" s="57">
        <v>1500</v>
      </c>
      <c r="BG75" s="57">
        <v>19</v>
      </c>
      <c r="BH75" s="57">
        <v>144</v>
      </c>
      <c r="BI75" s="57">
        <v>369</v>
      </c>
      <c r="BJ75" s="57" t="s">
        <v>297</v>
      </c>
      <c r="BK75" s="57">
        <v>0</v>
      </c>
      <c r="BL75" s="57">
        <v>0</v>
      </c>
      <c r="BM75" s="57">
        <v>0</v>
      </c>
      <c r="BN75" s="57">
        <v>0</v>
      </c>
      <c r="BO75" s="57">
        <v>57</v>
      </c>
      <c r="BP75" s="57">
        <v>130</v>
      </c>
      <c r="BQ75" s="76">
        <v>403</v>
      </c>
      <c r="BR75" s="76">
        <v>400</v>
      </c>
      <c r="BS75">
        <v>392</v>
      </c>
      <c r="BT75">
        <v>392</v>
      </c>
      <c r="BU75">
        <v>392</v>
      </c>
      <c r="BV75">
        <v>37075</v>
      </c>
      <c r="BW75">
        <v>36953</v>
      </c>
      <c r="BX75">
        <v>36691</v>
      </c>
      <c r="BY75">
        <v>36396</v>
      </c>
      <c r="BZ75">
        <v>36117</v>
      </c>
      <c r="CA75">
        <v>149</v>
      </c>
      <c r="CB75">
        <v>137</v>
      </c>
      <c r="CC75">
        <v>137</v>
      </c>
      <c r="CD75">
        <v>113</v>
      </c>
      <c r="CE75">
        <v>34</v>
      </c>
      <c r="CF75">
        <v>4825</v>
      </c>
      <c r="CG75">
        <v>4303</v>
      </c>
      <c r="CH75">
        <v>4199</v>
      </c>
      <c r="CI75">
        <v>3819</v>
      </c>
      <c r="CJ75">
        <v>666</v>
      </c>
      <c r="CK75" s="10">
        <v>35.049999999999997</v>
      </c>
      <c r="CL75" s="10">
        <v>35.049999999999997</v>
      </c>
      <c r="CM75" s="10">
        <v>35.049999999999997</v>
      </c>
      <c r="CN75" s="11">
        <v>18.399999999999999</v>
      </c>
      <c r="CO75" s="11">
        <v>17.5</v>
      </c>
      <c r="CP75" s="11">
        <v>17.5</v>
      </c>
      <c r="CQ75" s="13">
        <v>26</v>
      </c>
      <c r="CR75" s="13">
        <v>31</v>
      </c>
      <c r="CS75" s="13">
        <v>2</v>
      </c>
      <c r="CT75" s="10">
        <v>0</v>
      </c>
      <c r="CU75" s="10">
        <v>1</v>
      </c>
      <c r="CV75" s="10">
        <v>10</v>
      </c>
      <c r="CW75" s="10">
        <v>4</v>
      </c>
      <c r="CX75" s="10">
        <v>1</v>
      </c>
      <c r="CY75" s="10">
        <v>0</v>
      </c>
      <c r="CZ75" s="10">
        <v>1</v>
      </c>
      <c r="DA75" s="10">
        <v>4</v>
      </c>
      <c r="DB75" s="10">
        <v>2</v>
      </c>
      <c r="DC75" s="10">
        <v>0</v>
      </c>
      <c r="DD75" s="10">
        <v>3</v>
      </c>
      <c r="DE75" s="10">
        <v>2</v>
      </c>
      <c r="DF75" s="10">
        <v>3</v>
      </c>
      <c r="DG75" s="10">
        <v>0</v>
      </c>
      <c r="DH75" s="10">
        <v>0</v>
      </c>
      <c r="DI75" s="81">
        <v>0</v>
      </c>
      <c r="DJ75" s="81">
        <v>4</v>
      </c>
      <c r="DK75" s="81">
        <v>1</v>
      </c>
      <c r="DL75" s="81">
        <v>0</v>
      </c>
      <c r="DM75" s="81">
        <v>0</v>
      </c>
      <c r="DN75" s="12">
        <v>0</v>
      </c>
      <c r="DO75" s="12">
        <v>0</v>
      </c>
      <c r="DP75" s="12">
        <v>1</v>
      </c>
      <c r="DQ75" s="12">
        <v>1</v>
      </c>
      <c r="DR75" s="12">
        <v>0</v>
      </c>
      <c r="DS75" s="12">
        <v>0</v>
      </c>
      <c r="DT75" s="12">
        <v>0</v>
      </c>
      <c r="DU75" s="12">
        <v>0</v>
      </c>
      <c r="DV75" s="12">
        <v>2</v>
      </c>
      <c r="DW75" s="12">
        <v>10</v>
      </c>
      <c r="DX75" s="12">
        <v>0</v>
      </c>
      <c r="DY75" s="12">
        <v>1</v>
      </c>
      <c r="DZ75" s="12">
        <v>0</v>
      </c>
      <c r="EA75" s="12">
        <v>0</v>
      </c>
      <c r="EB75" s="12">
        <v>7</v>
      </c>
      <c r="EC75" s="12">
        <v>0</v>
      </c>
      <c r="ED75" s="12">
        <v>1</v>
      </c>
      <c r="EE75" s="12">
        <v>0</v>
      </c>
      <c r="EF75" s="12">
        <v>5</v>
      </c>
      <c r="EG75" s="12">
        <v>0</v>
      </c>
      <c r="EH75" s="12">
        <v>0</v>
      </c>
      <c r="EI75" s="12">
        <v>0</v>
      </c>
      <c r="EJ75" s="12">
        <v>0</v>
      </c>
      <c r="EK75" s="12">
        <v>0</v>
      </c>
      <c r="EL75" s="12">
        <v>2</v>
      </c>
      <c r="EM75" s="12">
        <v>5</v>
      </c>
      <c r="EN75" s="12">
        <v>0</v>
      </c>
      <c r="EO75" s="12">
        <v>0</v>
      </c>
      <c r="EP75" s="12">
        <v>1</v>
      </c>
      <c r="EQ75" s="12">
        <v>0</v>
      </c>
      <c r="ER75" s="12">
        <v>0</v>
      </c>
      <c r="ES75" s="13">
        <v>7</v>
      </c>
      <c r="ET75" s="13">
        <v>18</v>
      </c>
      <c r="EU75" s="13">
        <v>0</v>
      </c>
      <c r="EV75" s="10">
        <v>0</v>
      </c>
      <c r="EW75" s="10">
        <v>0</v>
      </c>
      <c r="EX75" s="10">
        <v>2</v>
      </c>
      <c r="EY75" s="10">
        <v>0</v>
      </c>
      <c r="EZ75" s="10">
        <v>0</v>
      </c>
      <c r="FA75" s="10">
        <v>0</v>
      </c>
      <c r="FB75" s="10">
        <v>0</v>
      </c>
      <c r="FC75" s="10">
        <v>0</v>
      </c>
      <c r="FD75" s="10">
        <v>1</v>
      </c>
      <c r="FE75" s="10">
        <v>0</v>
      </c>
      <c r="FF75" s="10">
        <v>0</v>
      </c>
      <c r="FG75" s="10">
        <v>0</v>
      </c>
      <c r="FH75" s="10">
        <v>0</v>
      </c>
      <c r="FI75" s="10">
        <v>0</v>
      </c>
      <c r="FJ75" s="10">
        <v>0</v>
      </c>
      <c r="FK75" s="81">
        <v>0</v>
      </c>
      <c r="FL75" s="81">
        <v>0</v>
      </c>
      <c r="FM75" s="81">
        <v>0</v>
      </c>
      <c r="FN75" s="81">
        <v>0</v>
      </c>
      <c r="FO75" s="81">
        <v>0</v>
      </c>
      <c r="FP75" s="12">
        <v>0</v>
      </c>
      <c r="FQ75" s="12">
        <v>0</v>
      </c>
      <c r="FR75" s="12">
        <v>0</v>
      </c>
      <c r="FS75" s="12">
        <v>0</v>
      </c>
      <c r="FT75" s="12">
        <v>0</v>
      </c>
      <c r="FU75" s="12">
        <v>0</v>
      </c>
      <c r="FV75" s="12">
        <v>0</v>
      </c>
      <c r="FW75" s="12">
        <v>0</v>
      </c>
      <c r="FX75" s="12">
        <v>1</v>
      </c>
      <c r="FY75" s="12">
        <v>0</v>
      </c>
      <c r="FZ75" s="12">
        <v>0</v>
      </c>
      <c r="GA75" s="12">
        <v>0</v>
      </c>
      <c r="GB75" s="12">
        <v>0</v>
      </c>
      <c r="GC75" s="12">
        <v>0</v>
      </c>
      <c r="GD75" s="12">
        <v>0</v>
      </c>
      <c r="GE75" s="12">
        <v>0</v>
      </c>
      <c r="GF75" s="12">
        <v>0</v>
      </c>
      <c r="GG75" s="12">
        <v>0</v>
      </c>
      <c r="GH75" s="12">
        <v>0</v>
      </c>
      <c r="GI75" s="12">
        <v>0</v>
      </c>
      <c r="GJ75" s="12">
        <v>0</v>
      </c>
      <c r="GK75" s="12">
        <v>0</v>
      </c>
      <c r="GL75" s="12">
        <v>0</v>
      </c>
      <c r="GM75" s="12">
        <v>0</v>
      </c>
      <c r="GN75" s="12">
        <v>0</v>
      </c>
      <c r="GO75" s="12">
        <v>0</v>
      </c>
      <c r="GP75" s="12">
        <v>0</v>
      </c>
      <c r="GQ75" s="12">
        <v>0</v>
      </c>
      <c r="GR75" s="12">
        <v>0</v>
      </c>
      <c r="GS75" s="12">
        <v>0</v>
      </c>
      <c r="GT75" s="12">
        <v>0</v>
      </c>
      <c r="GU75" s="13">
        <v>29</v>
      </c>
      <c r="GV75" s="13">
        <v>2</v>
      </c>
      <c r="GW75" s="13">
        <v>1</v>
      </c>
      <c r="GX75" s="13">
        <v>0</v>
      </c>
      <c r="GY75" s="10">
        <v>0</v>
      </c>
      <c r="GZ75" s="10">
        <v>0</v>
      </c>
      <c r="HA75" s="10">
        <v>0</v>
      </c>
      <c r="HB75" s="10">
        <v>0</v>
      </c>
      <c r="HC75" s="10">
        <v>0</v>
      </c>
      <c r="HD75" s="10">
        <v>0</v>
      </c>
      <c r="HE75" s="10">
        <v>0</v>
      </c>
      <c r="HF75" s="10">
        <v>0</v>
      </c>
      <c r="HG75" s="10">
        <v>0</v>
      </c>
      <c r="HH75" s="10">
        <v>0</v>
      </c>
      <c r="HI75" s="10">
        <v>0</v>
      </c>
      <c r="HJ75" s="10">
        <v>0</v>
      </c>
      <c r="HK75" s="10">
        <v>0</v>
      </c>
      <c r="HL75" s="10">
        <v>0</v>
      </c>
      <c r="HM75" s="10">
        <v>0</v>
      </c>
      <c r="HN75" s="81">
        <v>0</v>
      </c>
      <c r="HO75" s="81">
        <v>0</v>
      </c>
      <c r="HP75" s="81">
        <v>0</v>
      </c>
      <c r="HQ75" s="81">
        <v>0</v>
      </c>
      <c r="HR75" s="81">
        <v>0</v>
      </c>
      <c r="HS75" s="12">
        <v>0</v>
      </c>
      <c r="HT75" s="12">
        <v>0</v>
      </c>
      <c r="HU75" s="12">
        <v>0</v>
      </c>
      <c r="HV75" s="12">
        <v>0</v>
      </c>
      <c r="HW75" s="12">
        <v>0</v>
      </c>
      <c r="HX75" s="12">
        <v>0</v>
      </c>
      <c r="HY75" s="12">
        <v>0</v>
      </c>
      <c r="HZ75" s="12">
        <v>0</v>
      </c>
      <c r="IA75" s="12">
        <v>0</v>
      </c>
      <c r="IB75" s="12">
        <v>0</v>
      </c>
      <c r="IC75" s="12">
        <v>0</v>
      </c>
      <c r="ID75" s="12">
        <v>0</v>
      </c>
      <c r="IE75" s="12">
        <v>0</v>
      </c>
      <c r="IF75" s="12">
        <v>0</v>
      </c>
      <c r="IG75" s="12">
        <v>0</v>
      </c>
      <c r="IH75" s="12">
        <v>0</v>
      </c>
      <c r="II75" s="12">
        <v>0</v>
      </c>
      <c r="IJ75" s="12">
        <v>0</v>
      </c>
      <c r="IK75" s="12">
        <v>0</v>
      </c>
      <c r="IL75" s="12">
        <v>0</v>
      </c>
      <c r="IM75" s="12">
        <v>0</v>
      </c>
      <c r="IN75" s="12">
        <v>0</v>
      </c>
      <c r="IO75" s="12">
        <v>0</v>
      </c>
      <c r="IP75" s="12">
        <v>0</v>
      </c>
      <c r="IQ75" s="12">
        <v>0</v>
      </c>
      <c r="IR75" s="12">
        <v>0</v>
      </c>
      <c r="IS75" s="12">
        <v>0</v>
      </c>
      <c r="IT75" s="12">
        <v>0</v>
      </c>
      <c r="IU75" s="12">
        <v>0</v>
      </c>
      <c r="IV75" s="12">
        <v>0</v>
      </c>
      <c r="IW75" s="12">
        <v>0</v>
      </c>
      <c r="IX75" s="11">
        <v>18000</v>
      </c>
      <c r="IY75" s="11">
        <v>18000</v>
      </c>
      <c r="IZ75" s="11">
        <v>18000</v>
      </c>
      <c r="JA75" s="85">
        <v>1</v>
      </c>
      <c r="JB75" s="85">
        <v>0</v>
      </c>
      <c r="JC75" s="85">
        <v>0</v>
      </c>
      <c r="JD75" s="12">
        <v>7</v>
      </c>
      <c r="JE75" s="12">
        <v>7</v>
      </c>
      <c r="JF75" s="12">
        <v>7</v>
      </c>
      <c r="JG75" s="12">
        <v>7</v>
      </c>
      <c r="JH75" s="12">
        <v>7</v>
      </c>
      <c r="JI75" s="12">
        <v>6</v>
      </c>
      <c r="JJ75" s="13" t="s">
        <v>619</v>
      </c>
      <c r="JK75" s="13" t="s">
        <v>620</v>
      </c>
      <c r="JL75" s="13" t="s">
        <v>296</v>
      </c>
      <c r="JM75" s="89"/>
      <c r="JN75" s="89"/>
      <c r="JO75" s="89" t="s">
        <v>297</v>
      </c>
      <c r="JP75" s="89"/>
      <c r="JQ75" s="89"/>
      <c r="JR75" s="89" t="s">
        <v>296</v>
      </c>
      <c r="JS75" s="89" t="s">
        <v>620</v>
      </c>
      <c r="JT75" s="89" t="s">
        <v>620</v>
      </c>
      <c r="JU75" s="89" t="s">
        <v>296</v>
      </c>
      <c r="JV75" s="89"/>
      <c r="JW75" s="89"/>
      <c r="JX75" s="89" t="s">
        <v>297</v>
      </c>
      <c r="JY75" s="12" t="s">
        <v>34</v>
      </c>
      <c r="JZ75" s="12" t="s">
        <v>34</v>
      </c>
      <c r="KA75" s="12" t="s">
        <v>34</v>
      </c>
      <c r="KB75" s="12" t="s">
        <v>34</v>
      </c>
      <c r="KC75" s="12" t="s">
        <v>34</v>
      </c>
      <c r="KD75" s="12" t="s">
        <v>34</v>
      </c>
      <c r="KE75" s="12" t="s">
        <v>34</v>
      </c>
      <c r="KF75" s="12"/>
      <c r="KG75" s="12" t="s">
        <v>34</v>
      </c>
      <c r="KH75" s="12" t="s">
        <v>34</v>
      </c>
      <c r="KI75" s="12" t="s">
        <v>619</v>
      </c>
      <c r="KJ75" s="12" t="s">
        <v>619</v>
      </c>
      <c r="KK75" s="12" t="s">
        <v>34</v>
      </c>
      <c r="KL75" s="12" t="s">
        <v>34</v>
      </c>
      <c r="KM75" s="12" t="s">
        <v>34</v>
      </c>
      <c r="KN75" s="12" t="s">
        <v>34</v>
      </c>
      <c r="KO75" s="12" t="s">
        <v>34</v>
      </c>
      <c r="KP75" s="12" t="s">
        <v>34</v>
      </c>
      <c r="KQ75" s="12" t="s">
        <v>34</v>
      </c>
      <c r="KR75" s="12" t="s">
        <v>34</v>
      </c>
      <c r="KS75" s="12" t="s">
        <v>34</v>
      </c>
      <c r="KT75" s="12" t="s">
        <v>34</v>
      </c>
      <c r="KU75" s="12" t="s">
        <v>34</v>
      </c>
      <c r="KV75" s="12" t="s">
        <v>34</v>
      </c>
      <c r="KW75" s="12" t="s">
        <v>619</v>
      </c>
      <c r="KX75" s="12" t="s">
        <v>34</v>
      </c>
      <c r="KY75" s="12" t="s">
        <v>34</v>
      </c>
      <c r="KZ75" s="12" t="s">
        <v>34</v>
      </c>
      <c r="LA75" s="12" t="s">
        <v>619</v>
      </c>
      <c r="LB75" s="12" t="s">
        <v>34</v>
      </c>
      <c r="LC75" s="12" t="s">
        <v>619</v>
      </c>
      <c r="LD75" s="12" t="s">
        <v>34</v>
      </c>
      <c r="LE75" s="12" t="s">
        <v>34</v>
      </c>
      <c r="LF75" s="12" t="s">
        <v>34</v>
      </c>
      <c r="LG75" s="12" t="s">
        <v>34</v>
      </c>
      <c r="LH75" s="12" t="s">
        <v>34</v>
      </c>
      <c r="LI75" s="12" t="s">
        <v>619</v>
      </c>
      <c r="LJ75" s="12" t="s">
        <v>619</v>
      </c>
      <c r="LK75" s="12" t="s">
        <v>34</v>
      </c>
      <c r="LL75" s="13" t="s">
        <v>34</v>
      </c>
      <c r="LM75" s="13" t="s">
        <v>34</v>
      </c>
      <c r="LN75" s="13" t="s">
        <v>34</v>
      </c>
      <c r="LO75" s="13" t="s">
        <v>34</v>
      </c>
      <c r="LP75" s="90" t="s">
        <v>34</v>
      </c>
      <c r="LQ75" s="13" t="s">
        <v>619</v>
      </c>
      <c r="LR75" s="13" t="s">
        <v>34</v>
      </c>
      <c r="LS75" s="13"/>
      <c r="LT75" s="13" t="s">
        <v>34</v>
      </c>
      <c r="LU75" s="13" t="s">
        <v>34</v>
      </c>
      <c r="LV75" s="13" t="s">
        <v>34</v>
      </c>
      <c r="LW75" s="13" t="s">
        <v>34</v>
      </c>
      <c r="LX75" s="13" t="s">
        <v>34</v>
      </c>
      <c r="LY75" s="13" t="s">
        <v>34</v>
      </c>
      <c r="LZ75" s="13" t="s">
        <v>34</v>
      </c>
      <c r="MA75" s="13" t="s">
        <v>619</v>
      </c>
      <c r="MB75" s="13" t="s">
        <v>619</v>
      </c>
      <c r="MC75" s="13" t="s">
        <v>34</v>
      </c>
      <c r="MD75" s="13" t="s">
        <v>619</v>
      </c>
      <c r="ME75" s="13" t="s">
        <v>619</v>
      </c>
      <c r="MF75" s="13" t="s">
        <v>34</v>
      </c>
      <c r="MG75" s="13" t="s">
        <v>34</v>
      </c>
      <c r="MH75" s="13" t="s">
        <v>34</v>
      </c>
      <c r="MI75" s="13" t="s">
        <v>34</v>
      </c>
      <c r="MJ75" s="13" t="s">
        <v>34</v>
      </c>
      <c r="MK75" s="13" t="s">
        <v>34</v>
      </c>
      <c r="ML75" s="13" t="s">
        <v>34</v>
      </c>
      <c r="MM75" s="13" t="s">
        <v>34</v>
      </c>
      <c r="MN75" s="13" t="s">
        <v>34</v>
      </c>
      <c r="MO75" s="13" t="s">
        <v>619</v>
      </c>
      <c r="MP75" s="13" t="s">
        <v>34</v>
      </c>
      <c r="MQ75" s="13" t="s">
        <v>619</v>
      </c>
      <c r="MR75" s="13" t="s">
        <v>34</v>
      </c>
      <c r="MS75" s="13" t="s">
        <v>34</v>
      </c>
      <c r="MT75" s="13" t="s">
        <v>34</v>
      </c>
      <c r="MU75" s="13" t="s">
        <v>34</v>
      </c>
      <c r="MV75" s="13" t="s">
        <v>619</v>
      </c>
      <c r="MW75" s="13" t="s">
        <v>619</v>
      </c>
      <c r="MX75" s="13" t="s">
        <v>619</v>
      </c>
      <c r="MY75" s="28" t="s">
        <v>296</v>
      </c>
      <c r="MZ75" s="28" t="s">
        <v>297</v>
      </c>
      <c r="NA75" s="28" t="s">
        <v>296</v>
      </c>
      <c r="NB75" s="28" t="s">
        <v>297</v>
      </c>
      <c r="NC75" s="28" t="s">
        <v>296</v>
      </c>
      <c r="ND75" s="28" t="s">
        <v>296</v>
      </c>
      <c r="NE75" s="28" t="s">
        <v>296</v>
      </c>
      <c r="NF75" s="28" t="s">
        <v>296</v>
      </c>
      <c r="NG75" s="28" t="s">
        <v>297</v>
      </c>
      <c r="NH75" s="28" t="s">
        <v>297</v>
      </c>
      <c r="NI75" s="177" t="s">
        <v>296</v>
      </c>
      <c r="NJ75" s="177" t="s">
        <v>297</v>
      </c>
      <c r="NK75" s="177" t="s">
        <v>296</v>
      </c>
      <c r="NL75" s="177" t="s">
        <v>297</v>
      </c>
      <c r="NM75" s="177" t="s">
        <v>296</v>
      </c>
      <c r="NN75" s="177" t="s">
        <v>296</v>
      </c>
      <c r="NO75" s="177" t="s">
        <v>296</v>
      </c>
      <c r="NP75" s="177" t="s">
        <v>296</v>
      </c>
      <c r="NQ75" s="177" t="s">
        <v>296</v>
      </c>
      <c r="NR75" s="12" t="s">
        <v>34</v>
      </c>
      <c r="NS75" s="13" t="s">
        <v>34</v>
      </c>
    </row>
    <row r="76" spans="1:383" x14ac:dyDescent="0.25">
      <c r="A76" s="8" t="s">
        <v>192</v>
      </c>
      <c r="B76" s="9" t="s">
        <v>193</v>
      </c>
      <c r="C76" s="9">
        <v>84</v>
      </c>
      <c r="D76" s="9" t="s">
        <v>33</v>
      </c>
      <c r="E76" s="10">
        <v>226</v>
      </c>
      <c r="F76" s="10">
        <v>233</v>
      </c>
      <c r="G76" s="10">
        <v>238</v>
      </c>
      <c r="H76" s="10">
        <v>238</v>
      </c>
      <c r="I76" s="10">
        <v>189</v>
      </c>
      <c r="J76" s="11">
        <v>1286</v>
      </c>
      <c r="K76" s="14">
        <v>1326</v>
      </c>
      <c r="L76" s="14">
        <v>1287</v>
      </c>
      <c r="M76" s="14">
        <v>1256</v>
      </c>
      <c r="N76" s="14">
        <v>715</v>
      </c>
      <c r="O76" s="13">
        <v>9225</v>
      </c>
      <c r="P76" s="13">
        <v>9835</v>
      </c>
      <c r="Q76" s="13">
        <v>10685</v>
      </c>
      <c r="R76" s="13">
        <v>10293</v>
      </c>
      <c r="S76" s="13">
        <v>6013</v>
      </c>
      <c r="T76" s="12">
        <v>2774</v>
      </c>
      <c r="U76" s="12">
        <v>2700</v>
      </c>
      <c r="V76" s="12">
        <v>2894</v>
      </c>
      <c r="W76" s="12">
        <v>2780</v>
      </c>
      <c r="X76" s="12">
        <v>1403</v>
      </c>
      <c r="Y76" s="12">
        <v>6</v>
      </c>
      <c r="Z76" s="12">
        <v>6</v>
      </c>
      <c r="AA76" s="12">
        <v>6</v>
      </c>
      <c r="AB76" s="13">
        <v>6</v>
      </c>
      <c r="AC76" s="13">
        <v>6</v>
      </c>
      <c r="AD76" s="13">
        <v>6</v>
      </c>
      <c r="AE76" s="35" t="s">
        <v>259</v>
      </c>
      <c r="AF76" s="35" t="s">
        <v>259</v>
      </c>
      <c r="AG76" s="35" t="s">
        <v>259</v>
      </c>
      <c r="AH76" s="38">
        <v>0.5</v>
      </c>
      <c r="AI76" s="38">
        <v>0.5</v>
      </c>
      <c r="AJ76" s="38">
        <v>0.9</v>
      </c>
      <c r="AK76" s="45" t="s">
        <v>34</v>
      </c>
      <c r="AL76" s="45" t="s">
        <v>34</v>
      </c>
      <c r="AM76" s="45" t="s">
        <v>34</v>
      </c>
      <c r="AN76" s="45" t="s">
        <v>34</v>
      </c>
      <c r="AO76" s="45" t="s">
        <v>34</v>
      </c>
      <c r="AP76" s="45" t="s">
        <v>292</v>
      </c>
      <c r="AQ76" s="53" t="s">
        <v>297</v>
      </c>
      <c r="AR76" s="56">
        <v>423</v>
      </c>
      <c r="AS76" s="57">
        <v>141</v>
      </c>
      <c r="AT76" s="56">
        <v>172</v>
      </c>
      <c r="AU76" s="57">
        <v>31160</v>
      </c>
      <c r="AV76" s="57">
        <v>10639</v>
      </c>
      <c r="AW76" s="57">
        <v>7575</v>
      </c>
      <c r="AX76" s="57">
        <v>103</v>
      </c>
      <c r="AY76" s="57">
        <v>50</v>
      </c>
      <c r="AZ76" s="57">
        <v>42</v>
      </c>
      <c r="BA76" s="57">
        <v>11643</v>
      </c>
      <c r="BB76" s="57">
        <v>15255</v>
      </c>
      <c r="BC76" s="57">
        <v>17827</v>
      </c>
      <c r="BD76" s="57">
        <v>1565</v>
      </c>
      <c r="BE76" s="57">
        <v>6106</v>
      </c>
      <c r="BF76" s="57">
        <v>4540</v>
      </c>
      <c r="BG76" s="57">
        <v>1358</v>
      </c>
      <c r="BH76" s="57">
        <v>4564</v>
      </c>
      <c r="BI76" s="57">
        <v>6097</v>
      </c>
      <c r="BJ76" s="57" t="s">
        <v>296</v>
      </c>
      <c r="BK76" s="57">
        <v>16</v>
      </c>
      <c r="BL76" s="57">
        <v>0</v>
      </c>
      <c r="BM76" s="57">
        <v>0</v>
      </c>
      <c r="BN76" s="57">
        <v>7000</v>
      </c>
      <c r="BO76" s="57">
        <v>4000</v>
      </c>
      <c r="BP76" s="57">
        <v>4000</v>
      </c>
      <c r="BQ76" s="76">
        <v>460</v>
      </c>
      <c r="BR76" s="76">
        <v>455</v>
      </c>
      <c r="BS76">
        <v>444</v>
      </c>
      <c r="BT76">
        <v>444</v>
      </c>
      <c r="BU76">
        <v>443</v>
      </c>
      <c r="BV76">
        <v>73584</v>
      </c>
      <c r="BW76">
        <v>73740</v>
      </c>
      <c r="BX76">
        <v>74486</v>
      </c>
      <c r="BY76">
        <v>74926</v>
      </c>
      <c r="BZ76">
        <v>74592</v>
      </c>
      <c r="CA76">
        <v>238</v>
      </c>
      <c r="CB76">
        <v>240</v>
      </c>
      <c r="CC76">
        <v>241</v>
      </c>
      <c r="CD76">
        <v>244</v>
      </c>
      <c r="CE76">
        <v>190</v>
      </c>
      <c r="CF76">
        <v>11999</v>
      </c>
      <c r="CG76">
        <v>12535</v>
      </c>
      <c r="CH76">
        <v>13579</v>
      </c>
      <c r="CI76">
        <v>13073</v>
      </c>
      <c r="CJ76">
        <v>7416</v>
      </c>
      <c r="CK76" s="10">
        <v>25.5</v>
      </c>
      <c r="CL76" s="10">
        <v>25.5</v>
      </c>
      <c r="CM76" s="10">
        <v>25.5</v>
      </c>
      <c r="CN76" s="14">
        <v>17.82</v>
      </c>
      <c r="CO76" s="14">
        <v>17.809999999999999</v>
      </c>
      <c r="CP76" s="14">
        <v>17.82</v>
      </c>
      <c r="CQ76" s="13">
        <v>40</v>
      </c>
      <c r="CR76" s="13">
        <v>46</v>
      </c>
      <c r="CS76" s="13">
        <v>23</v>
      </c>
      <c r="CT76" s="10">
        <v>0</v>
      </c>
      <c r="CU76" s="10">
        <v>4</v>
      </c>
      <c r="CV76" s="10">
        <v>34</v>
      </c>
      <c r="CW76" s="10">
        <v>54</v>
      </c>
      <c r="CX76" s="10">
        <v>21</v>
      </c>
      <c r="CY76" s="10">
        <v>0</v>
      </c>
      <c r="CZ76" s="10">
        <v>1</v>
      </c>
      <c r="DA76" s="10">
        <v>24</v>
      </c>
      <c r="DB76" s="10">
        <v>14</v>
      </c>
      <c r="DC76" s="10">
        <v>1</v>
      </c>
      <c r="DD76" s="10">
        <v>0</v>
      </c>
      <c r="DE76" s="10">
        <v>7</v>
      </c>
      <c r="DF76" s="10">
        <v>3</v>
      </c>
      <c r="DG76" s="10">
        <v>4</v>
      </c>
      <c r="DH76" s="10">
        <v>0</v>
      </c>
      <c r="DI76" s="81">
        <v>5</v>
      </c>
      <c r="DJ76" s="81">
        <v>2</v>
      </c>
      <c r="DK76" s="81">
        <v>16</v>
      </c>
      <c r="DL76" s="81">
        <v>2</v>
      </c>
      <c r="DM76" s="81">
        <v>18</v>
      </c>
      <c r="DN76" s="12">
        <v>7</v>
      </c>
      <c r="DO76" s="12">
        <v>0</v>
      </c>
      <c r="DP76" s="12">
        <v>10</v>
      </c>
      <c r="DQ76" s="12">
        <v>0</v>
      </c>
      <c r="DR76" s="12">
        <v>0</v>
      </c>
      <c r="DS76" s="12">
        <v>1</v>
      </c>
      <c r="DT76" s="12">
        <v>0</v>
      </c>
      <c r="DU76" s="12">
        <v>0</v>
      </c>
      <c r="DV76" s="12">
        <v>27</v>
      </c>
      <c r="DW76" s="12">
        <v>11</v>
      </c>
      <c r="DX76" s="12">
        <v>1</v>
      </c>
      <c r="DY76" s="12">
        <v>5</v>
      </c>
      <c r="DZ76" s="12">
        <v>0</v>
      </c>
      <c r="EA76" s="12">
        <v>0</v>
      </c>
      <c r="EB76" s="12">
        <v>17</v>
      </c>
      <c r="EC76" s="12">
        <v>0</v>
      </c>
      <c r="ED76" s="12">
        <v>11</v>
      </c>
      <c r="EE76" s="12">
        <v>15</v>
      </c>
      <c r="EF76" s="12">
        <v>0</v>
      </c>
      <c r="EG76" s="12">
        <v>0</v>
      </c>
      <c r="EH76" s="12">
        <v>0</v>
      </c>
      <c r="EI76" s="12">
        <v>0</v>
      </c>
      <c r="EJ76" s="12">
        <v>0</v>
      </c>
      <c r="EK76" s="12">
        <v>0</v>
      </c>
      <c r="EL76" s="12">
        <v>2</v>
      </c>
      <c r="EM76" s="12">
        <v>1</v>
      </c>
      <c r="EN76" s="12">
        <v>1</v>
      </c>
      <c r="EO76" s="12">
        <v>0</v>
      </c>
      <c r="EP76" s="12">
        <v>0</v>
      </c>
      <c r="EQ76" s="12">
        <v>0</v>
      </c>
      <c r="ER76" s="12">
        <v>0</v>
      </c>
      <c r="ES76" s="13">
        <v>6</v>
      </c>
      <c r="ET76" s="13">
        <v>41</v>
      </c>
      <c r="EU76" s="13">
        <v>8</v>
      </c>
      <c r="EV76" s="10">
        <v>0</v>
      </c>
      <c r="EW76" s="10">
        <v>0</v>
      </c>
      <c r="EX76" s="10">
        <v>2</v>
      </c>
      <c r="EY76" s="10">
        <v>31</v>
      </c>
      <c r="EZ76" s="10">
        <v>1</v>
      </c>
      <c r="FA76" s="10">
        <v>0</v>
      </c>
      <c r="FB76" s="10">
        <v>0</v>
      </c>
      <c r="FC76" s="10">
        <v>18</v>
      </c>
      <c r="FD76" s="10">
        <v>0</v>
      </c>
      <c r="FE76" s="10">
        <v>0</v>
      </c>
      <c r="FF76" s="10">
        <v>0</v>
      </c>
      <c r="FG76" s="10">
        <v>1</v>
      </c>
      <c r="FH76" s="10">
        <v>0</v>
      </c>
      <c r="FI76" s="10">
        <v>0</v>
      </c>
      <c r="FJ76" s="10">
        <v>0</v>
      </c>
      <c r="FK76" s="81">
        <v>0</v>
      </c>
      <c r="FL76" s="81">
        <v>3</v>
      </c>
      <c r="FM76" s="81">
        <v>0</v>
      </c>
      <c r="FN76" s="81">
        <v>0</v>
      </c>
      <c r="FO76" s="81">
        <v>15</v>
      </c>
      <c r="FP76" s="12">
        <v>2</v>
      </c>
      <c r="FQ76" s="12">
        <v>0</v>
      </c>
      <c r="FR76" s="12">
        <v>1</v>
      </c>
      <c r="FS76" s="12">
        <v>0</v>
      </c>
      <c r="FT76" s="12">
        <v>1</v>
      </c>
      <c r="FU76" s="12">
        <v>0</v>
      </c>
      <c r="FV76" s="12">
        <v>0</v>
      </c>
      <c r="FW76" s="12">
        <v>0</v>
      </c>
      <c r="FX76" s="12">
        <v>3</v>
      </c>
      <c r="FY76" s="12">
        <v>3</v>
      </c>
      <c r="FZ76" s="12">
        <v>4</v>
      </c>
      <c r="GA76" s="12">
        <v>2</v>
      </c>
      <c r="GB76" s="12">
        <v>2</v>
      </c>
      <c r="GC76" s="12">
        <v>0</v>
      </c>
      <c r="GD76" s="12">
        <v>5</v>
      </c>
      <c r="GE76" s="12">
        <v>0</v>
      </c>
      <c r="GF76" s="12">
        <v>5</v>
      </c>
      <c r="GG76" s="12">
        <v>6</v>
      </c>
      <c r="GH76" s="12">
        <v>1</v>
      </c>
      <c r="GI76" s="12">
        <v>0</v>
      </c>
      <c r="GJ76" s="12">
        <v>0</v>
      </c>
      <c r="GK76" s="12">
        <v>0</v>
      </c>
      <c r="GL76" s="12">
        <v>2</v>
      </c>
      <c r="GM76" s="12">
        <v>0</v>
      </c>
      <c r="GN76" s="12">
        <v>4</v>
      </c>
      <c r="GO76" s="12">
        <v>0</v>
      </c>
      <c r="GP76" s="12">
        <v>0</v>
      </c>
      <c r="GQ76" s="12">
        <v>1</v>
      </c>
      <c r="GR76" s="12">
        <v>1</v>
      </c>
      <c r="GS76" s="12">
        <v>0</v>
      </c>
      <c r="GT76" s="12">
        <v>0</v>
      </c>
      <c r="GU76" s="13">
        <v>141</v>
      </c>
      <c r="GV76" s="13">
        <v>6</v>
      </c>
      <c r="GW76" s="13">
        <v>31</v>
      </c>
      <c r="GX76" s="13">
        <v>15</v>
      </c>
      <c r="GY76" s="10">
        <v>0</v>
      </c>
      <c r="GZ76" s="10">
        <v>0</v>
      </c>
      <c r="HA76" s="10">
        <v>5</v>
      </c>
      <c r="HB76" s="10">
        <v>38</v>
      </c>
      <c r="HC76" s="10">
        <v>19</v>
      </c>
      <c r="HD76" s="10">
        <v>0</v>
      </c>
      <c r="HE76" s="10">
        <v>0</v>
      </c>
      <c r="HF76" s="10">
        <v>16</v>
      </c>
      <c r="HG76" s="10">
        <v>5</v>
      </c>
      <c r="HH76" s="10">
        <v>0</v>
      </c>
      <c r="HI76" s="10">
        <v>0</v>
      </c>
      <c r="HJ76" s="10">
        <v>0</v>
      </c>
      <c r="HK76" s="10">
        <v>0</v>
      </c>
      <c r="HL76" s="10">
        <v>4</v>
      </c>
      <c r="HM76" s="10">
        <v>0</v>
      </c>
      <c r="HN76" s="81">
        <v>0</v>
      </c>
      <c r="HO76" s="81">
        <v>0</v>
      </c>
      <c r="HP76" s="81">
        <v>0</v>
      </c>
      <c r="HQ76" s="81">
        <v>0</v>
      </c>
      <c r="HR76" s="81">
        <v>2</v>
      </c>
      <c r="HS76" s="12">
        <v>1</v>
      </c>
      <c r="HT76" s="12">
        <v>1</v>
      </c>
      <c r="HU76" s="12">
        <v>0</v>
      </c>
      <c r="HV76" s="12">
        <v>0</v>
      </c>
      <c r="HW76" s="12">
        <v>0</v>
      </c>
      <c r="HX76" s="12">
        <v>0</v>
      </c>
      <c r="HY76" s="12">
        <v>1</v>
      </c>
      <c r="HZ76" s="12">
        <v>0</v>
      </c>
      <c r="IA76" s="12">
        <v>0</v>
      </c>
      <c r="IB76" s="12">
        <v>0</v>
      </c>
      <c r="IC76" s="12">
        <v>2</v>
      </c>
      <c r="ID76" s="12">
        <v>0</v>
      </c>
      <c r="IE76" s="12">
        <v>1</v>
      </c>
      <c r="IF76" s="12">
        <v>0</v>
      </c>
      <c r="IG76" s="12">
        <v>6</v>
      </c>
      <c r="IH76" s="12">
        <v>0</v>
      </c>
      <c r="II76" s="12">
        <v>1</v>
      </c>
      <c r="IJ76" s="12">
        <v>0</v>
      </c>
      <c r="IK76" s="12">
        <v>1</v>
      </c>
      <c r="IL76" s="12">
        <v>1</v>
      </c>
      <c r="IM76" s="12">
        <v>0</v>
      </c>
      <c r="IN76" s="12">
        <v>1</v>
      </c>
      <c r="IO76" s="12">
        <v>0</v>
      </c>
      <c r="IP76" s="12">
        <v>0</v>
      </c>
      <c r="IQ76" s="12">
        <v>0</v>
      </c>
      <c r="IR76" s="12">
        <v>0</v>
      </c>
      <c r="IS76" s="12">
        <v>1</v>
      </c>
      <c r="IT76" s="12">
        <v>1</v>
      </c>
      <c r="IU76" s="12">
        <v>1</v>
      </c>
      <c r="IV76" s="12">
        <v>0</v>
      </c>
      <c r="IW76" s="12">
        <v>0</v>
      </c>
      <c r="IX76" s="14">
        <v>23652</v>
      </c>
      <c r="IY76" s="14">
        <v>21000</v>
      </c>
      <c r="IZ76" s="14">
        <v>23750</v>
      </c>
      <c r="JA76" s="85" t="s">
        <v>604</v>
      </c>
      <c r="JB76" s="85">
        <v>0</v>
      </c>
      <c r="JC76" s="85" t="s">
        <v>361</v>
      </c>
      <c r="JD76" s="12">
        <v>13</v>
      </c>
      <c r="JE76" s="12">
        <v>13</v>
      </c>
      <c r="JF76" s="12">
        <v>13</v>
      </c>
      <c r="JG76" s="12">
        <v>13</v>
      </c>
      <c r="JH76" s="12">
        <v>13</v>
      </c>
      <c r="JI76" s="12">
        <v>13</v>
      </c>
      <c r="JJ76" s="13" t="s">
        <v>619</v>
      </c>
      <c r="JK76" s="13" t="s">
        <v>619</v>
      </c>
      <c r="JL76" s="13" t="s">
        <v>297</v>
      </c>
      <c r="JM76" s="89"/>
      <c r="JN76" s="89"/>
      <c r="JO76" s="89" t="s">
        <v>296</v>
      </c>
      <c r="JP76" s="89"/>
      <c r="JQ76" s="89"/>
      <c r="JR76" s="89" t="s">
        <v>296</v>
      </c>
      <c r="JS76" s="89" t="s">
        <v>619</v>
      </c>
      <c r="JT76" s="89" t="s">
        <v>619</v>
      </c>
      <c r="JU76" s="89" t="s">
        <v>296</v>
      </c>
      <c r="JV76" s="89"/>
      <c r="JW76" s="89"/>
      <c r="JX76" s="89" t="s">
        <v>297</v>
      </c>
      <c r="JY76" s="12" t="s">
        <v>619</v>
      </c>
      <c r="JZ76" s="12" t="s">
        <v>34</v>
      </c>
      <c r="KA76" s="12" t="s">
        <v>619</v>
      </c>
      <c r="KB76" s="12" t="s">
        <v>34</v>
      </c>
      <c r="KC76" s="12" t="s">
        <v>34</v>
      </c>
      <c r="KD76" s="12" t="s">
        <v>34</v>
      </c>
      <c r="KE76" s="12" t="s">
        <v>34</v>
      </c>
      <c r="KF76" s="12"/>
      <c r="KG76" s="12" t="s">
        <v>34</v>
      </c>
      <c r="KH76" s="12" t="s">
        <v>34</v>
      </c>
      <c r="KI76" s="12" t="s">
        <v>34</v>
      </c>
      <c r="KJ76" s="12" t="s">
        <v>34</v>
      </c>
      <c r="KK76" s="12" t="s">
        <v>34</v>
      </c>
      <c r="KL76" s="12" t="s">
        <v>34</v>
      </c>
      <c r="KM76" s="12" t="s">
        <v>619</v>
      </c>
      <c r="KN76" s="12" t="s">
        <v>619</v>
      </c>
      <c r="KO76" s="12" t="s">
        <v>619</v>
      </c>
      <c r="KP76" s="12" t="s">
        <v>34</v>
      </c>
      <c r="KQ76" s="12" t="s">
        <v>619</v>
      </c>
      <c r="KR76" s="12" t="s">
        <v>619</v>
      </c>
      <c r="KS76" s="12" t="s">
        <v>34</v>
      </c>
      <c r="KT76" s="12" t="s">
        <v>34</v>
      </c>
      <c r="KU76" s="12" t="s">
        <v>34</v>
      </c>
      <c r="KV76" s="12" t="s">
        <v>34</v>
      </c>
      <c r="KW76" s="12" t="s">
        <v>619</v>
      </c>
      <c r="KX76" s="12" t="s">
        <v>34</v>
      </c>
      <c r="KY76" s="12" t="s">
        <v>34</v>
      </c>
      <c r="KZ76" s="12" t="s">
        <v>619</v>
      </c>
      <c r="LA76" s="12" t="s">
        <v>34</v>
      </c>
      <c r="LB76" s="12" t="s">
        <v>619</v>
      </c>
      <c r="LC76" s="12" t="s">
        <v>619</v>
      </c>
      <c r="LD76" s="12" t="s">
        <v>34</v>
      </c>
      <c r="LE76" s="12" t="s">
        <v>34</v>
      </c>
      <c r="LF76" s="12" t="s">
        <v>34</v>
      </c>
      <c r="LG76" s="12" t="s">
        <v>34</v>
      </c>
      <c r="LH76" s="12" t="s">
        <v>34</v>
      </c>
      <c r="LI76" s="12" t="s">
        <v>619</v>
      </c>
      <c r="LJ76" s="12" t="s">
        <v>619</v>
      </c>
      <c r="LK76" s="12" t="s">
        <v>34</v>
      </c>
      <c r="LL76" s="13" t="s">
        <v>34</v>
      </c>
      <c r="LM76" s="13" t="s">
        <v>34</v>
      </c>
      <c r="LN76" s="13" t="s">
        <v>34</v>
      </c>
      <c r="LO76" s="13" t="s">
        <v>34</v>
      </c>
      <c r="LP76" s="90" t="s">
        <v>34</v>
      </c>
      <c r="LQ76" s="13" t="s">
        <v>34</v>
      </c>
      <c r="LR76" s="13" t="s">
        <v>34</v>
      </c>
      <c r="LS76" s="13"/>
      <c r="LT76" s="13" t="s">
        <v>34</v>
      </c>
      <c r="LU76" s="13" t="s">
        <v>34</v>
      </c>
      <c r="LV76" s="13" t="s">
        <v>34</v>
      </c>
      <c r="LW76" s="13" t="s">
        <v>34</v>
      </c>
      <c r="LX76" s="13" t="s">
        <v>34</v>
      </c>
      <c r="LY76" s="13" t="s">
        <v>34</v>
      </c>
      <c r="LZ76" s="13" t="s">
        <v>34</v>
      </c>
      <c r="MA76" s="13" t="s">
        <v>34</v>
      </c>
      <c r="MB76" s="13" t="s">
        <v>619</v>
      </c>
      <c r="MC76" s="13" t="s">
        <v>34</v>
      </c>
      <c r="MD76" s="13" t="s">
        <v>34</v>
      </c>
      <c r="ME76" s="13" t="s">
        <v>34</v>
      </c>
      <c r="MF76" s="13" t="s">
        <v>34</v>
      </c>
      <c r="MG76" s="13" t="s">
        <v>34</v>
      </c>
      <c r="MH76" s="13" t="s">
        <v>34</v>
      </c>
      <c r="MI76" s="13" t="s">
        <v>34</v>
      </c>
      <c r="MJ76" s="13" t="s">
        <v>34</v>
      </c>
      <c r="MK76" s="13" t="s">
        <v>34</v>
      </c>
      <c r="ML76" s="13" t="s">
        <v>34</v>
      </c>
      <c r="MM76" s="13" t="s">
        <v>34</v>
      </c>
      <c r="MN76" s="13" t="s">
        <v>34</v>
      </c>
      <c r="MO76" s="13" t="s">
        <v>34</v>
      </c>
      <c r="MP76" s="13" t="s">
        <v>34</v>
      </c>
      <c r="MQ76" s="13" t="s">
        <v>34</v>
      </c>
      <c r="MR76" s="13" t="s">
        <v>34</v>
      </c>
      <c r="MS76" s="13" t="s">
        <v>34</v>
      </c>
      <c r="MT76" s="13" t="s">
        <v>34</v>
      </c>
      <c r="MU76" s="13" t="s">
        <v>34</v>
      </c>
      <c r="MV76" s="13" t="s">
        <v>34</v>
      </c>
      <c r="MW76" s="13" t="s">
        <v>34</v>
      </c>
      <c r="MX76" s="13" t="s">
        <v>34</v>
      </c>
      <c r="MY76" s="28" t="s">
        <v>296</v>
      </c>
      <c r="MZ76" s="28" t="s">
        <v>296</v>
      </c>
      <c r="NA76" s="28" t="s">
        <v>296</v>
      </c>
      <c r="NB76" s="28" t="s">
        <v>296</v>
      </c>
      <c r="NC76" s="28" t="s">
        <v>296</v>
      </c>
      <c r="ND76" s="28" t="s">
        <v>297</v>
      </c>
      <c r="NE76" s="28" t="s">
        <v>296</v>
      </c>
      <c r="NF76" s="28" t="s">
        <v>296</v>
      </c>
      <c r="NG76" s="28" t="s">
        <v>297</v>
      </c>
      <c r="NH76" s="28" t="s">
        <v>297</v>
      </c>
      <c r="NI76" s="177" t="s">
        <v>296</v>
      </c>
      <c r="NJ76" s="177" t="s">
        <v>297</v>
      </c>
      <c r="NK76" s="177" t="s">
        <v>297</v>
      </c>
      <c r="NL76" s="177" t="s">
        <v>296</v>
      </c>
      <c r="NM76" s="177" t="s">
        <v>296</v>
      </c>
      <c r="NN76" s="177" t="s">
        <v>296</v>
      </c>
      <c r="NO76" s="177" t="s">
        <v>296</v>
      </c>
      <c r="NP76" s="177" t="s">
        <v>296</v>
      </c>
      <c r="NQ76" s="177" t="s">
        <v>296</v>
      </c>
      <c r="NR76" s="12" t="s">
        <v>34</v>
      </c>
      <c r="NS76" s="13" t="s">
        <v>34</v>
      </c>
    </row>
    <row r="77" spans="1:383" x14ac:dyDescent="0.25">
      <c r="A77" s="8" t="s">
        <v>194</v>
      </c>
      <c r="B77" s="9" t="s">
        <v>195</v>
      </c>
      <c r="C77" s="9">
        <v>11</v>
      </c>
      <c r="D77" s="9" t="s">
        <v>196</v>
      </c>
      <c r="E77" s="10">
        <v>140</v>
      </c>
      <c r="F77" s="10">
        <v>136</v>
      </c>
      <c r="G77" s="10">
        <v>131</v>
      </c>
      <c r="H77" s="10">
        <v>124</v>
      </c>
      <c r="I77" s="10">
        <v>112</v>
      </c>
      <c r="J77" s="11">
        <v>986</v>
      </c>
      <c r="K77" s="11">
        <v>895</v>
      </c>
      <c r="L77" s="11">
        <v>883</v>
      </c>
      <c r="M77" s="11">
        <v>789</v>
      </c>
      <c r="N77" s="11">
        <v>702</v>
      </c>
      <c r="O77" s="13">
        <v>9713</v>
      </c>
      <c r="P77" s="13">
        <v>9219</v>
      </c>
      <c r="Q77" s="13">
        <v>8362</v>
      </c>
      <c r="R77" s="13">
        <v>7567</v>
      </c>
      <c r="S77" s="13">
        <v>6513</v>
      </c>
      <c r="T77" s="12">
        <v>945</v>
      </c>
      <c r="U77" s="12">
        <v>671</v>
      </c>
      <c r="V77" s="12">
        <v>421</v>
      </c>
      <c r="W77" s="12">
        <v>402</v>
      </c>
      <c r="X77" s="12">
        <v>196</v>
      </c>
      <c r="Y77" s="12">
        <v>4.4000000000000004</v>
      </c>
      <c r="Z77" s="12">
        <v>4.41</v>
      </c>
      <c r="AA77" s="12">
        <v>4.41</v>
      </c>
      <c r="AB77" s="13">
        <v>4.0599999999999996</v>
      </c>
      <c r="AC77" s="13">
        <v>4.07</v>
      </c>
      <c r="AD77" s="13">
        <v>4.07</v>
      </c>
      <c r="AE77" s="35" t="s">
        <v>258</v>
      </c>
      <c r="AF77" s="35" t="s">
        <v>258</v>
      </c>
      <c r="AG77" s="35" t="s">
        <v>258</v>
      </c>
      <c r="AH77" s="38">
        <v>1</v>
      </c>
      <c r="AI77" s="38">
        <v>1</v>
      </c>
      <c r="AJ77" s="38">
        <v>0.5</v>
      </c>
      <c r="AK77" s="45" t="s">
        <v>34</v>
      </c>
      <c r="AL77" s="45" t="s">
        <v>34</v>
      </c>
      <c r="AM77" s="45" t="s">
        <v>34</v>
      </c>
      <c r="AN77" s="45" t="s">
        <v>34</v>
      </c>
      <c r="AO77" s="45" t="s">
        <v>34</v>
      </c>
      <c r="AP77" s="45" t="s">
        <v>292</v>
      </c>
      <c r="AQ77" s="53" t="s">
        <v>297</v>
      </c>
      <c r="AR77" s="56">
        <v>921</v>
      </c>
      <c r="AS77" s="57">
        <v>464</v>
      </c>
      <c r="AT77" s="56">
        <v>168</v>
      </c>
      <c r="AU77" s="57">
        <v>80741</v>
      </c>
      <c r="AV77" s="57">
        <v>31496</v>
      </c>
      <c r="AW77" s="57">
        <v>5544</v>
      </c>
      <c r="AX77" s="57">
        <v>782</v>
      </c>
      <c r="AY77" s="57">
        <v>361</v>
      </c>
      <c r="AZ77" s="57">
        <v>159</v>
      </c>
      <c r="BA77" s="57">
        <v>3829</v>
      </c>
      <c r="BB77" s="57">
        <v>42270</v>
      </c>
      <c r="BC77" s="57">
        <v>49648</v>
      </c>
      <c r="BD77" s="57">
        <v>0</v>
      </c>
      <c r="BE77" s="57">
        <v>19280</v>
      </c>
      <c r="BF77" s="57">
        <v>30627</v>
      </c>
      <c r="BG77" s="57">
        <v>24</v>
      </c>
      <c r="BH77" s="57">
        <v>904</v>
      </c>
      <c r="BI77" s="57">
        <v>3040</v>
      </c>
      <c r="BJ77" s="57" t="s">
        <v>296</v>
      </c>
      <c r="BK77" s="57">
        <v>31</v>
      </c>
      <c r="BL77" s="57">
        <v>0</v>
      </c>
      <c r="BM77" s="57">
        <v>0</v>
      </c>
      <c r="BN77" s="57">
        <v>0</v>
      </c>
      <c r="BO77" s="57">
        <v>0</v>
      </c>
      <c r="BP77" s="57">
        <v>374</v>
      </c>
      <c r="BQ77" s="76">
        <v>662</v>
      </c>
      <c r="BR77" s="76">
        <v>656</v>
      </c>
      <c r="BS77">
        <v>651</v>
      </c>
      <c r="BT77">
        <v>651</v>
      </c>
      <c r="BU77">
        <v>649</v>
      </c>
      <c r="BV77">
        <v>130205</v>
      </c>
      <c r="BW77">
        <v>127280</v>
      </c>
      <c r="BX77">
        <v>125185</v>
      </c>
      <c r="BY77">
        <v>122415</v>
      </c>
      <c r="BZ77">
        <v>118692</v>
      </c>
      <c r="CA77">
        <v>337</v>
      </c>
      <c r="CB77">
        <v>400</v>
      </c>
      <c r="CC77">
        <v>150</v>
      </c>
      <c r="CD77">
        <v>230</v>
      </c>
      <c r="CE77">
        <v>230</v>
      </c>
      <c r="CF77">
        <v>10658</v>
      </c>
      <c r="CG77">
        <v>9890</v>
      </c>
      <c r="CH77">
        <v>8783</v>
      </c>
      <c r="CI77">
        <v>7969</v>
      </c>
      <c r="CJ77">
        <v>6709</v>
      </c>
      <c r="CK77" s="10">
        <v>15</v>
      </c>
      <c r="CL77" s="10">
        <v>15.1</v>
      </c>
      <c r="CM77" s="10">
        <v>15.1</v>
      </c>
      <c r="CN77" s="11">
        <v>17.03</v>
      </c>
      <c r="CO77" s="11">
        <v>17.02</v>
      </c>
      <c r="CP77" s="11">
        <v>17.02</v>
      </c>
      <c r="CQ77" s="13">
        <v>24</v>
      </c>
      <c r="CR77" s="13">
        <v>25</v>
      </c>
      <c r="CS77" s="13">
        <v>0</v>
      </c>
      <c r="CT77" s="10">
        <v>0</v>
      </c>
      <c r="CU77" s="10">
        <v>0</v>
      </c>
      <c r="CV77" s="10">
        <v>2</v>
      </c>
      <c r="CW77" s="10">
        <v>13</v>
      </c>
      <c r="CX77" s="10">
        <v>0</v>
      </c>
      <c r="CY77" s="10">
        <v>0</v>
      </c>
      <c r="CZ77" s="10">
        <v>0</v>
      </c>
      <c r="DA77" s="10">
        <v>0</v>
      </c>
      <c r="DB77" s="10">
        <v>2</v>
      </c>
      <c r="DC77" s="10">
        <v>1</v>
      </c>
      <c r="DD77" s="10">
        <v>0</v>
      </c>
      <c r="DE77" s="10">
        <v>0</v>
      </c>
      <c r="DF77" s="10">
        <v>1</v>
      </c>
      <c r="DG77" s="10">
        <v>0</v>
      </c>
      <c r="DH77" s="10">
        <v>0</v>
      </c>
      <c r="DI77" s="81">
        <v>7</v>
      </c>
      <c r="DJ77" s="81">
        <v>8</v>
      </c>
      <c r="DK77" s="81">
        <v>32</v>
      </c>
      <c r="DL77" s="81">
        <v>0</v>
      </c>
      <c r="DM77" s="81">
        <v>5</v>
      </c>
      <c r="DN77" s="12">
        <v>1</v>
      </c>
      <c r="DO77" s="12">
        <v>1</v>
      </c>
      <c r="DP77" s="12">
        <v>173</v>
      </c>
      <c r="DQ77" s="12">
        <v>0</v>
      </c>
      <c r="DR77" s="12">
        <v>6</v>
      </c>
      <c r="DS77" s="12">
        <v>1</v>
      </c>
      <c r="DT77" s="12">
        <v>0</v>
      </c>
      <c r="DU77" s="12">
        <v>1</v>
      </c>
      <c r="DV77" s="12">
        <v>1</v>
      </c>
      <c r="DW77" s="12">
        <v>468</v>
      </c>
      <c r="DX77" s="12">
        <v>3</v>
      </c>
      <c r="DY77" s="12">
        <v>156</v>
      </c>
      <c r="DZ77" s="12">
        <v>1</v>
      </c>
      <c r="EA77" s="12">
        <v>0</v>
      </c>
      <c r="EB77" s="12">
        <v>0</v>
      </c>
      <c r="EC77" s="12">
        <v>0</v>
      </c>
      <c r="ED77" s="12">
        <v>0</v>
      </c>
      <c r="EE77" s="12">
        <v>1</v>
      </c>
      <c r="EF77" s="12">
        <v>2</v>
      </c>
      <c r="EG77" s="12">
        <v>0</v>
      </c>
      <c r="EH77" s="12">
        <v>1</v>
      </c>
      <c r="EI77" s="12">
        <v>0</v>
      </c>
      <c r="EJ77" s="12">
        <v>0</v>
      </c>
      <c r="EK77" s="12">
        <v>0</v>
      </c>
      <c r="EL77" s="12">
        <v>14</v>
      </c>
      <c r="EM77" s="12">
        <v>0</v>
      </c>
      <c r="EN77" s="12">
        <v>4</v>
      </c>
      <c r="EO77" s="12">
        <v>1</v>
      </c>
      <c r="EP77" s="12">
        <v>1</v>
      </c>
      <c r="EQ77" s="12">
        <v>1</v>
      </c>
      <c r="ER77" s="12">
        <v>2</v>
      </c>
      <c r="ES77" s="13">
        <v>54</v>
      </c>
      <c r="ET77" s="13">
        <v>58</v>
      </c>
      <c r="EU77" s="13">
        <v>9</v>
      </c>
      <c r="EV77" s="10">
        <v>0</v>
      </c>
      <c r="EW77" s="10">
        <v>0</v>
      </c>
      <c r="EX77" s="10">
        <v>2</v>
      </c>
      <c r="EY77" s="10">
        <v>0</v>
      </c>
      <c r="EZ77" s="10">
        <v>2</v>
      </c>
      <c r="FA77" s="10">
        <v>0</v>
      </c>
      <c r="FB77" s="10">
        <v>0</v>
      </c>
      <c r="FC77" s="10">
        <v>0</v>
      </c>
      <c r="FD77" s="10">
        <v>2</v>
      </c>
      <c r="FE77" s="10">
        <v>2</v>
      </c>
      <c r="FF77" s="10">
        <v>2</v>
      </c>
      <c r="FG77" s="10">
        <v>0</v>
      </c>
      <c r="FH77" s="10">
        <v>0</v>
      </c>
      <c r="FI77" s="10">
        <v>0</v>
      </c>
      <c r="FJ77" s="10">
        <v>2</v>
      </c>
      <c r="FK77" s="81">
        <v>1</v>
      </c>
      <c r="FL77" s="81">
        <v>2</v>
      </c>
      <c r="FM77" s="81">
        <v>5</v>
      </c>
      <c r="FN77" s="81">
        <v>0</v>
      </c>
      <c r="FO77" s="81">
        <v>10</v>
      </c>
      <c r="FP77" s="12">
        <v>50</v>
      </c>
      <c r="FQ77" s="12">
        <v>2</v>
      </c>
      <c r="FR77" s="12">
        <v>160</v>
      </c>
      <c r="FS77" s="12">
        <v>2</v>
      </c>
      <c r="FT77" s="12">
        <v>53</v>
      </c>
      <c r="FU77" s="12">
        <v>2</v>
      </c>
      <c r="FV77" s="12">
        <v>0</v>
      </c>
      <c r="FW77" s="12">
        <v>2</v>
      </c>
      <c r="FX77" s="12">
        <v>2</v>
      </c>
      <c r="FY77" s="12">
        <v>245</v>
      </c>
      <c r="FZ77" s="12">
        <v>1</v>
      </c>
      <c r="GA77" s="12">
        <v>119</v>
      </c>
      <c r="GB77" s="12">
        <v>50</v>
      </c>
      <c r="GC77" s="12">
        <v>0</v>
      </c>
      <c r="GD77" s="12">
        <v>2</v>
      </c>
      <c r="GE77" s="12">
        <v>2</v>
      </c>
      <c r="GF77" s="12">
        <v>0</v>
      </c>
      <c r="GG77" s="12">
        <v>2</v>
      </c>
      <c r="GH77" s="12">
        <v>3</v>
      </c>
      <c r="GI77" s="12">
        <v>0</v>
      </c>
      <c r="GJ77" s="12">
        <v>57</v>
      </c>
      <c r="GK77" s="12">
        <v>2</v>
      </c>
      <c r="GL77" s="12">
        <v>0</v>
      </c>
      <c r="GM77" s="12">
        <v>0</v>
      </c>
      <c r="GN77" s="12">
        <v>3</v>
      </c>
      <c r="GO77" s="12">
        <v>0</v>
      </c>
      <c r="GP77" s="12">
        <v>52</v>
      </c>
      <c r="GQ77" s="12">
        <v>3</v>
      </c>
      <c r="GR77" s="12">
        <v>2</v>
      </c>
      <c r="GS77" s="12">
        <v>4</v>
      </c>
      <c r="GT77" s="12">
        <v>52</v>
      </c>
      <c r="GU77" s="13">
        <v>464</v>
      </c>
      <c r="GV77" s="13">
        <v>161</v>
      </c>
      <c r="GW77" s="13">
        <v>1</v>
      </c>
      <c r="GX77" s="13">
        <v>0</v>
      </c>
      <c r="GY77" s="10">
        <v>0</v>
      </c>
      <c r="GZ77" s="10">
        <v>0</v>
      </c>
      <c r="HA77" s="10">
        <v>3</v>
      </c>
      <c r="HB77" s="10">
        <v>0</v>
      </c>
      <c r="HC77" s="10">
        <v>1</v>
      </c>
      <c r="HD77" s="10">
        <v>1</v>
      </c>
      <c r="HE77" s="10">
        <v>0</v>
      </c>
      <c r="HF77" s="10">
        <v>0</v>
      </c>
      <c r="HG77" s="10">
        <v>1</v>
      </c>
      <c r="HH77" s="10">
        <v>0</v>
      </c>
      <c r="HI77" s="10">
        <v>1</v>
      </c>
      <c r="HJ77" s="10">
        <v>0</v>
      </c>
      <c r="HK77" s="10">
        <v>0</v>
      </c>
      <c r="HL77" s="10">
        <v>0</v>
      </c>
      <c r="HM77" s="10">
        <v>158</v>
      </c>
      <c r="HN77" s="81">
        <v>0</v>
      </c>
      <c r="HO77" s="81">
        <v>158</v>
      </c>
      <c r="HP77" s="81">
        <v>0</v>
      </c>
      <c r="HQ77" s="81">
        <v>0</v>
      </c>
      <c r="HR77" s="81">
        <v>158</v>
      </c>
      <c r="HS77" s="12">
        <v>1</v>
      </c>
      <c r="HT77" s="12">
        <v>1</v>
      </c>
      <c r="HU77" s="12">
        <v>159</v>
      </c>
      <c r="HV77" s="12">
        <v>0</v>
      </c>
      <c r="HW77" s="12">
        <v>160</v>
      </c>
      <c r="HX77" s="12">
        <v>0</v>
      </c>
      <c r="HY77" s="12">
        <v>0</v>
      </c>
      <c r="HZ77" s="12">
        <v>1</v>
      </c>
      <c r="IA77" s="12">
        <v>2</v>
      </c>
      <c r="IB77" s="12">
        <v>160</v>
      </c>
      <c r="IC77" s="12">
        <v>1</v>
      </c>
      <c r="ID77" s="12">
        <v>159</v>
      </c>
      <c r="IE77" s="12">
        <v>0</v>
      </c>
      <c r="IF77" s="12">
        <v>0</v>
      </c>
      <c r="IG77" s="12">
        <v>158</v>
      </c>
      <c r="IH77" s="12">
        <v>2</v>
      </c>
      <c r="II77" s="12">
        <v>0</v>
      </c>
      <c r="IJ77" s="12">
        <v>1</v>
      </c>
      <c r="IK77" s="12">
        <v>1</v>
      </c>
      <c r="IL77" s="12">
        <v>0</v>
      </c>
      <c r="IM77" s="12">
        <v>160</v>
      </c>
      <c r="IN77" s="12">
        <v>0</v>
      </c>
      <c r="IO77" s="12">
        <v>1</v>
      </c>
      <c r="IP77" s="12">
        <v>0</v>
      </c>
      <c r="IQ77" s="12">
        <v>1</v>
      </c>
      <c r="IR77" s="12">
        <v>0</v>
      </c>
      <c r="IS77" s="12">
        <v>159</v>
      </c>
      <c r="IT77" s="12">
        <v>159</v>
      </c>
      <c r="IU77" s="12">
        <v>0</v>
      </c>
      <c r="IV77" s="12">
        <v>0</v>
      </c>
      <c r="IW77" s="12">
        <v>1</v>
      </c>
      <c r="IX77" s="11">
        <v>0</v>
      </c>
      <c r="IY77" s="11">
        <v>0</v>
      </c>
      <c r="IZ77" s="11">
        <v>0</v>
      </c>
      <c r="JA77" s="85">
        <v>1</v>
      </c>
      <c r="JB77" s="85">
        <v>0</v>
      </c>
      <c r="JC77" s="85">
        <v>1</v>
      </c>
      <c r="JD77" s="12">
        <v>32</v>
      </c>
      <c r="JE77" s="12">
        <v>12</v>
      </c>
      <c r="JF77" s="12">
        <v>35</v>
      </c>
      <c r="JG77" s="12">
        <v>6</v>
      </c>
      <c r="JH77" s="12">
        <v>35</v>
      </c>
      <c r="JI77" s="12">
        <v>8</v>
      </c>
      <c r="JJ77" s="13" t="s">
        <v>619</v>
      </c>
      <c r="JK77" s="13" t="s">
        <v>619</v>
      </c>
      <c r="JL77" s="13" t="s">
        <v>296</v>
      </c>
      <c r="JM77" s="89"/>
      <c r="JN77" s="89"/>
      <c r="JO77" s="89" t="s">
        <v>297</v>
      </c>
      <c r="JP77" s="89"/>
      <c r="JQ77" s="89"/>
      <c r="JR77" s="89" t="s">
        <v>297</v>
      </c>
      <c r="JS77" s="89" t="s">
        <v>619</v>
      </c>
      <c r="JT77" s="89" t="s">
        <v>619</v>
      </c>
      <c r="JU77" s="89" t="s">
        <v>296</v>
      </c>
      <c r="JV77" s="89"/>
      <c r="JW77" s="89"/>
      <c r="JX77" s="89" t="s">
        <v>297</v>
      </c>
      <c r="JY77" s="12" t="s">
        <v>619</v>
      </c>
      <c r="JZ77" s="12" t="s">
        <v>34</v>
      </c>
      <c r="KA77" s="12" t="s">
        <v>34</v>
      </c>
      <c r="KB77" s="12" t="s">
        <v>34</v>
      </c>
      <c r="KC77" s="12" t="s">
        <v>34</v>
      </c>
      <c r="KD77" s="12" t="s">
        <v>34</v>
      </c>
      <c r="KE77" s="12" t="s">
        <v>34</v>
      </c>
      <c r="KF77" s="12"/>
      <c r="KG77" s="12" t="s">
        <v>34</v>
      </c>
      <c r="KH77" s="12" t="s">
        <v>34</v>
      </c>
      <c r="KI77" s="12" t="s">
        <v>34</v>
      </c>
      <c r="KJ77" s="12" t="s">
        <v>34</v>
      </c>
      <c r="KK77" s="12" t="s">
        <v>34</v>
      </c>
      <c r="KL77" s="12" t="s">
        <v>34</v>
      </c>
      <c r="KM77" s="12" t="s">
        <v>34</v>
      </c>
      <c r="KN77" s="12" t="s">
        <v>619</v>
      </c>
      <c r="KO77" s="12" t="s">
        <v>34</v>
      </c>
      <c r="KP77" s="12" t="s">
        <v>34</v>
      </c>
      <c r="KQ77" s="12" t="s">
        <v>619</v>
      </c>
      <c r="KR77" s="12" t="s">
        <v>34</v>
      </c>
      <c r="KS77" s="12" t="s">
        <v>34</v>
      </c>
      <c r="KT77" s="12" t="s">
        <v>34</v>
      </c>
      <c r="KU77" s="12" t="s">
        <v>619</v>
      </c>
      <c r="KV77" s="12" t="s">
        <v>34</v>
      </c>
      <c r="KW77" s="12" t="s">
        <v>34</v>
      </c>
      <c r="KX77" s="12" t="s">
        <v>34</v>
      </c>
      <c r="KY77" s="12" t="s">
        <v>34</v>
      </c>
      <c r="KZ77" s="12" t="s">
        <v>34</v>
      </c>
      <c r="LA77" s="12" t="s">
        <v>619</v>
      </c>
      <c r="LB77" s="12" t="s">
        <v>619</v>
      </c>
      <c r="LC77" s="12" t="s">
        <v>34</v>
      </c>
      <c r="LD77" s="12" t="s">
        <v>619</v>
      </c>
      <c r="LE77" s="12" t="s">
        <v>619</v>
      </c>
      <c r="LF77" s="12" t="s">
        <v>34</v>
      </c>
      <c r="LG77" s="12" t="s">
        <v>34</v>
      </c>
      <c r="LH77" s="12" t="s">
        <v>34</v>
      </c>
      <c r="LI77" s="12" t="s">
        <v>34</v>
      </c>
      <c r="LJ77" s="12" t="s">
        <v>619</v>
      </c>
      <c r="LK77" s="12" t="s">
        <v>619</v>
      </c>
      <c r="LL77" s="13" t="s">
        <v>619</v>
      </c>
      <c r="LM77" s="13" t="s">
        <v>34</v>
      </c>
      <c r="LN77" s="13" t="s">
        <v>34</v>
      </c>
      <c r="LO77" s="13" t="s">
        <v>34</v>
      </c>
      <c r="LP77" s="90" t="s">
        <v>34</v>
      </c>
      <c r="LQ77" s="13" t="s">
        <v>34</v>
      </c>
      <c r="LR77" s="13" t="s">
        <v>34</v>
      </c>
      <c r="LS77" s="13"/>
      <c r="LT77" s="13" t="s">
        <v>34</v>
      </c>
      <c r="LU77" s="13" t="s">
        <v>34</v>
      </c>
      <c r="LV77" s="13" t="s">
        <v>34</v>
      </c>
      <c r="LW77" s="13" t="s">
        <v>34</v>
      </c>
      <c r="LX77" s="13" t="s">
        <v>34</v>
      </c>
      <c r="LY77" s="13" t="s">
        <v>34</v>
      </c>
      <c r="LZ77" s="13" t="s">
        <v>34</v>
      </c>
      <c r="MA77" s="13" t="s">
        <v>34</v>
      </c>
      <c r="MB77" s="13" t="s">
        <v>34</v>
      </c>
      <c r="MC77" s="13" t="s">
        <v>34</v>
      </c>
      <c r="MD77" s="13" t="s">
        <v>619</v>
      </c>
      <c r="ME77" s="13" t="s">
        <v>34</v>
      </c>
      <c r="MF77" s="13" t="s">
        <v>34</v>
      </c>
      <c r="MG77" s="13" t="s">
        <v>34</v>
      </c>
      <c r="MH77" s="13" t="s">
        <v>34</v>
      </c>
      <c r="MI77" s="13" t="s">
        <v>34</v>
      </c>
      <c r="MJ77" s="13" t="s">
        <v>34</v>
      </c>
      <c r="MK77" s="13" t="s">
        <v>34</v>
      </c>
      <c r="ML77" s="13" t="s">
        <v>34</v>
      </c>
      <c r="MM77" s="13" t="s">
        <v>34</v>
      </c>
      <c r="MN77" s="13" t="s">
        <v>34</v>
      </c>
      <c r="MO77" s="13" t="s">
        <v>619</v>
      </c>
      <c r="MP77" s="13" t="s">
        <v>34</v>
      </c>
      <c r="MQ77" s="13" t="s">
        <v>619</v>
      </c>
      <c r="MR77" s="13" t="s">
        <v>619</v>
      </c>
      <c r="MS77" s="13" t="s">
        <v>34</v>
      </c>
      <c r="MT77" s="13" t="s">
        <v>34</v>
      </c>
      <c r="MU77" s="13" t="s">
        <v>34</v>
      </c>
      <c r="MV77" s="13" t="s">
        <v>34</v>
      </c>
      <c r="MW77" s="13" t="s">
        <v>34</v>
      </c>
      <c r="MX77" s="13" t="s">
        <v>619</v>
      </c>
      <c r="MY77" s="28" t="s">
        <v>297</v>
      </c>
      <c r="MZ77" s="28" t="s">
        <v>297</v>
      </c>
      <c r="NA77" s="28" t="s">
        <v>297</v>
      </c>
      <c r="NB77" s="28" t="s">
        <v>297</v>
      </c>
      <c r="NC77" s="28" t="s">
        <v>297</v>
      </c>
      <c r="ND77" s="28" t="s">
        <v>297</v>
      </c>
      <c r="NE77" s="28" t="s">
        <v>297</v>
      </c>
      <c r="NF77" s="28" t="s">
        <v>297</v>
      </c>
      <c r="NG77" s="28" t="s">
        <v>297</v>
      </c>
      <c r="NH77" s="28" t="s">
        <v>297</v>
      </c>
      <c r="NI77" s="177" t="s">
        <v>296</v>
      </c>
      <c r="NJ77" s="177" t="s">
        <v>297</v>
      </c>
      <c r="NK77" s="177" t="s">
        <v>296</v>
      </c>
      <c r="NL77" s="177" t="s">
        <v>297</v>
      </c>
      <c r="NM77" s="177" t="s">
        <v>297</v>
      </c>
      <c r="NN77" s="177" t="s">
        <v>296</v>
      </c>
      <c r="NO77" s="177" t="s">
        <v>297</v>
      </c>
      <c r="NP77" s="177" t="s">
        <v>296</v>
      </c>
      <c r="NQ77" s="177" t="s">
        <v>296</v>
      </c>
      <c r="NR77" s="12" t="s">
        <v>34</v>
      </c>
      <c r="NS77" s="13" t="s">
        <v>34</v>
      </c>
    </row>
    <row r="78" spans="1:383" x14ac:dyDescent="0.25">
      <c r="A78" s="8" t="s">
        <v>197</v>
      </c>
      <c r="B78" s="9" t="s">
        <v>198</v>
      </c>
      <c r="C78" s="9">
        <v>28</v>
      </c>
      <c r="D78" s="9" t="s">
        <v>65</v>
      </c>
      <c r="E78" s="10">
        <v>40</v>
      </c>
      <c r="F78" s="10">
        <v>32</v>
      </c>
      <c r="G78" s="10">
        <v>26</v>
      </c>
      <c r="H78" s="10">
        <v>28</v>
      </c>
      <c r="I78" s="10">
        <v>16</v>
      </c>
      <c r="J78" s="11">
        <v>183</v>
      </c>
      <c r="K78" s="11">
        <v>190</v>
      </c>
      <c r="L78" s="11">
        <v>163</v>
      </c>
      <c r="M78" s="11">
        <v>175</v>
      </c>
      <c r="N78" s="11">
        <v>61</v>
      </c>
      <c r="O78" s="13">
        <v>2312</v>
      </c>
      <c r="P78" s="13">
        <v>2245</v>
      </c>
      <c r="Q78" s="13">
        <v>1763</v>
      </c>
      <c r="R78" s="13">
        <v>1631</v>
      </c>
      <c r="S78" s="13">
        <v>774</v>
      </c>
      <c r="T78" s="12">
        <v>128</v>
      </c>
      <c r="U78" s="12">
        <v>184</v>
      </c>
      <c r="V78" s="12">
        <v>185</v>
      </c>
      <c r="W78" s="12">
        <v>291</v>
      </c>
      <c r="X78" s="12">
        <v>0</v>
      </c>
      <c r="Y78" s="12">
        <v>7.5</v>
      </c>
      <c r="Z78" s="12">
        <v>7.5</v>
      </c>
      <c r="AA78" s="12">
        <v>7.5</v>
      </c>
      <c r="AB78" s="13">
        <v>6.5</v>
      </c>
      <c r="AC78" s="13">
        <v>6.5</v>
      </c>
      <c r="AD78" s="13">
        <v>6.5</v>
      </c>
      <c r="AE78" s="35" t="s">
        <v>258</v>
      </c>
      <c r="AF78" s="35" t="s">
        <v>258</v>
      </c>
      <c r="AG78" s="35" t="s">
        <v>258</v>
      </c>
      <c r="AH78" s="38">
        <v>1</v>
      </c>
      <c r="AI78" s="38">
        <v>1</v>
      </c>
      <c r="AJ78" s="38">
        <v>1</v>
      </c>
      <c r="AK78" s="45" t="s">
        <v>34</v>
      </c>
      <c r="AL78" s="45" t="s">
        <v>34</v>
      </c>
      <c r="AM78" s="45" t="s">
        <v>34</v>
      </c>
      <c r="AN78" s="45" t="s">
        <v>34</v>
      </c>
      <c r="AO78" s="45" t="s">
        <v>34</v>
      </c>
      <c r="AP78" s="45" t="s">
        <v>34</v>
      </c>
      <c r="AQ78" s="53" t="s">
        <v>297</v>
      </c>
      <c r="AR78" s="56">
        <v>162</v>
      </c>
      <c r="AS78" s="57">
        <v>19</v>
      </c>
      <c r="AT78" s="56">
        <v>52</v>
      </c>
      <c r="AU78" s="57">
        <v>5808</v>
      </c>
      <c r="AV78" s="57">
        <v>1244</v>
      </c>
      <c r="AW78" s="57">
        <v>589</v>
      </c>
      <c r="AX78" s="57">
        <v>27</v>
      </c>
      <c r="AY78" s="57">
        <v>9</v>
      </c>
      <c r="AZ78" s="57">
        <v>4</v>
      </c>
      <c r="BA78" s="57">
        <v>3151</v>
      </c>
      <c r="BB78" s="57">
        <v>8105</v>
      </c>
      <c r="BC78" s="57">
        <v>18386</v>
      </c>
      <c r="BD78" s="57">
        <v>130</v>
      </c>
      <c r="BE78" s="57">
        <v>110</v>
      </c>
      <c r="BF78" s="57">
        <v>248</v>
      </c>
      <c r="BG78" s="57">
        <v>451</v>
      </c>
      <c r="BH78" s="57">
        <v>1478</v>
      </c>
      <c r="BI78" s="57">
        <v>2190</v>
      </c>
      <c r="BJ78" s="57" t="s">
        <v>297</v>
      </c>
      <c r="BK78" s="57">
        <v>14</v>
      </c>
      <c r="BL78" s="57">
        <v>0</v>
      </c>
      <c r="BM78" s="57">
        <v>0</v>
      </c>
      <c r="BN78" s="57">
        <v>1263</v>
      </c>
      <c r="BO78" s="57">
        <v>1996</v>
      </c>
      <c r="BP78" s="57">
        <v>50</v>
      </c>
      <c r="BQ78" s="76">
        <v>1084</v>
      </c>
      <c r="BR78" s="76">
        <v>1071</v>
      </c>
      <c r="BS78">
        <v>1041</v>
      </c>
      <c r="BT78">
        <v>1041</v>
      </c>
      <c r="BU78">
        <v>1033</v>
      </c>
      <c r="BV78">
        <v>115254</v>
      </c>
      <c r="BW78">
        <v>114188</v>
      </c>
      <c r="BX78">
        <v>113368</v>
      </c>
      <c r="BY78">
        <v>112372</v>
      </c>
      <c r="BZ78">
        <v>111444</v>
      </c>
      <c r="CA78" t="s">
        <v>360</v>
      </c>
      <c r="CB78">
        <v>40</v>
      </c>
      <c r="CC78">
        <v>40</v>
      </c>
      <c r="CD78">
        <v>45</v>
      </c>
      <c r="CE78">
        <v>24</v>
      </c>
      <c r="CF78">
        <v>2440</v>
      </c>
      <c r="CG78">
        <v>2429</v>
      </c>
      <c r="CH78">
        <v>1948</v>
      </c>
      <c r="CI78">
        <v>1922</v>
      </c>
      <c r="CJ78">
        <v>774</v>
      </c>
      <c r="CK78" s="10">
        <v>34</v>
      </c>
      <c r="CL78" s="10">
        <v>34</v>
      </c>
      <c r="CM78" s="10">
        <v>34</v>
      </c>
      <c r="CN78" s="11">
        <v>16.5</v>
      </c>
      <c r="CO78" s="11">
        <v>16.5</v>
      </c>
      <c r="CP78" s="11">
        <v>16.5</v>
      </c>
      <c r="CQ78" s="13">
        <v>47</v>
      </c>
      <c r="CR78" s="13">
        <v>18</v>
      </c>
      <c r="CS78" s="13">
        <v>6</v>
      </c>
      <c r="CT78" s="10">
        <v>0</v>
      </c>
      <c r="CU78" s="10">
        <v>0</v>
      </c>
      <c r="CV78" s="10">
        <v>18</v>
      </c>
      <c r="CW78" s="10">
        <v>3</v>
      </c>
      <c r="CX78" s="10">
        <v>13</v>
      </c>
      <c r="CY78" s="10">
        <v>0</v>
      </c>
      <c r="CZ78" s="10">
        <v>0</v>
      </c>
      <c r="DA78" s="10">
        <v>0</v>
      </c>
      <c r="DB78" s="10">
        <v>0</v>
      </c>
      <c r="DC78" s="10">
        <v>0</v>
      </c>
      <c r="DD78" s="10">
        <v>0</v>
      </c>
      <c r="DE78" s="10">
        <v>0</v>
      </c>
      <c r="DF78" s="10">
        <v>2</v>
      </c>
      <c r="DG78" s="10">
        <v>0</v>
      </c>
      <c r="DH78" s="10">
        <v>7</v>
      </c>
      <c r="DI78" s="81">
        <v>1</v>
      </c>
      <c r="DJ78" s="81">
        <v>0</v>
      </c>
      <c r="DK78" s="81">
        <v>2</v>
      </c>
      <c r="DL78" s="81">
        <v>0</v>
      </c>
      <c r="DM78" s="81">
        <v>5</v>
      </c>
      <c r="DN78" s="12">
        <v>0</v>
      </c>
      <c r="DO78" s="12">
        <v>0</v>
      </c>
      <c r="DP78" s="12">
        <v>4</v>
      </c>
      <c r="DQ78" s="12">
        <v>9</v>
      </c>
      <c r="DR78" s="12">
        <v>1</v>
      </c>
      <c r="DS78" s="12">
        <v>0</v>
      </c>
      <c r="DT78" s="12">
        <v>0</v>
      </c>
      <c r="DU78" s="12">
        <v>0</v>
      </c>
      <c r="DV78" s="12">
        <v>2</v>
      </c>
      <c r="DW78" s="12">
        <v>7</v>
      </c>
      <c r="DX78" s="12">
        <v>4</v>
      </c>
      <c r="DY78" s="12">
        <v>15</v>
      </c>
      <c r="DZ78" s="12">
        <v>2</v>
      </c>
      <c r="EA78" s="12">
        <v>0</v>
      </c>
      <c r="EB78" s="12">
        <v>28</v>
      </c>
      <c r="EC78" s="12">
        <v>0</v>
      </c>
      <c r="ED78" s="12">
        <v>5</v>
      </c>
      <c r="EE78" s="12">
        <v>2</v>
      </c>
      <c r="EF78" s="12">
        <v>8</v>
      </c>
      <c r="EG78" s="12">
        <v>0</v>
      </c>
      <c r="EH78" s="12">
        <v>0</v>
      </c>
      <c r="EI78" s="12">
        <v>0</v>
      </c>
      <c r="EJ78" s="12">
        <v>0</v>
      </c>
      <c r="EK78" s="12">
        <v>0</v>
      </c>
      <c r="EL78" s="12">
        <v>9</v>
      </c>
      <c r="EM78" s="12">
        <v>1</v>
      </c>
      <c r="EN78" s="12">
        <v>1</v>
      </c>
      <c r="EO78" s="12">
        <v>3</v>
      </c>
      <c r="EP78" s="12">
        <v>8</v>
      </c>
      <c r="EQ78" s="12">
        <v>5</v>
      </c>
      <c r="ER78" s="12">
        <v>0</v>
      </c>
      <c r="ES78" s="13">
        <v>6</v>
      </c>
      <c r="ET78" s="13">
        <v>3</v>
      </c>
      <c r="EU78" s="13">
        <v>0</v>
      </c>
      <c r="EV78" s="10">
        <v>0</v>
      </c>
      <c r="EW78" s="10">
        <v>0</v>
      </c>
      <c r="EX78" s="10">
        <v>0</v>
      </c>
      <c r="EY78" s="10">
        <v>0</v>
      </c>
      <c r="EZ78" s="10">
        <v>0</v>
      </c>
      <c r="FA78" s="10">
        <v>0</v>
      </c>
      <c r="FB78" s="10">
        <v>0</v>
      </c>
      <c r="FC78" s="10">
        <v>0</v>
      </c>
      <c r="FD78" s="10">
        <v>0</v>
      </c>
      <c r="FE78" s="10">
        <v>0</v>
      </c>
      <c r="FF78" s="10">
        <v>0</v>
      </c>
      <c r="FG78" s="10">
        <v>0</v>
      </c>
      <c r="FH78" s="10">
        <v>0</v>
      </c>
      <c r="FI78" s="10">
        <v>0</v>
      </c>
      <c r="FJ78" s="10">
        <v>1</v>
      </c>
      <c r="FK78" s="81">
        <v>0</v>
      </c>
      <c r="FL78" s="81">
        <v>0</v>
      </c>
      <c r="FM78" s="81">
        <v>0</v>
      </c>
      <c r="FN78" s="81">
        <v>0</v>
      </c>
      <c r="FO78" s="81">
        <v>2</v>
      </c>
      <c r="FP78" s="12">
        <v>0</v>
      </c>
      <c r="FQ78" s="12">
        <v>0</v>
      </c>
      <c r="FR78" s="12">
        <v>2</v>
      </c>
      <c r="FS78" s="12">
        <v>2</v>
      </c>
      <c r="FT78" s="12">
        <v>1</v>
      </c>
      <c r="FU78" s="12">
        <v>0</v>
      </c>
      <c r="FV78" s="12">
        <v>0</v>
      </c>
      <c r="FW78" s="12">
        <v>0</v>
      </c>
      <c r="FX78" s="12">
        <v>3</v>
      </c>
      <c r="FY78" s="12">
        <v>1</v>
      </c>
      <c r="FZ78" s="12">
        <v>0</v>
      </c>
      <c r="GA78" s="12">
        <v>0</v>
      </c>
      <c r="GB78" s="12">
        <v>0</v>
      </c>
      <c r="GC78" s="12">
        <v>0</v>
      </c>
      <c r="GD78" s="12">
        <v>1</v>
      </c>
      <c r="GE78" s="12">
        <v>0</v>
      </c>
      <c r="GF78" s="12">
        <v>0</v>
      </c>
      <c r="GG78" s="12">
        <v>0</v>
      </c>
      <c r="GH78" s="12">
        <v>2</v>
      </c>
      <c r="GI78" s="12">
        <v>0</v>
      </c>
      <c r="GJ78" s="12">
        <v>0</v>
      </c>
      <c r="GK78" s="12">
        <v>0</v>
      </c>
      <c r="GL78" s="12">
        <v>0</v>
      </c>
      <c r="GM78" s="12">
        <v>0</v>
      </c>
      <c r="GN78" s="12">
        <v>0</v>
      </c>
      <c r="GO78" s="12">
        <v>0</v>
      </c>
      <c r="GP78" s="12">
        <v>0</v>
      </c>
      <c r="GQ78" s="12">
        <v>0</v>
      </c>
      <c r="GR78" s="12">
        <v>2</v>
      </c>
      <c r="GS78" s="12">
        <v>0</v>
      </c>
      <c r="GT78" s="12">
        <v>0</v>
      </c>
      <c r="GU78" s="13">
        <v>19</v>
      </c>
      <c r="GV78" s="13">
        <v>27</v>
      </c>
      <c r="GW78" s="13">
        <v>14</v>
      </c>
      <c r="GX78" s="13">
        <v>0</v>
      </c>
      <c r="GY78" s="10">
        <v>0</v>
      </c>
      <c r="GZ78" s="10">
        <v>0</v>
      </c>
      <c r="HA78" s="10">
        <v>27</v>
      </c>
      <c r="HB78" s="10">
        <v>15</v>
      </c>
      <c r="HC78" s="10">
        <v>4</v>
      </c>
      <c r="HD78" s="10">
        <v>0</v>
      </c>
      <c r="HE78" s="10">
        <v>0</v>
      </c>
      <c r="HF78" s="10">
        <v>0</v>
      </c>
      <c r="HG78" s="10">
        <v>0</v>
      </c>
      <c r="HH78" s="10">
        <v>0</v>
      </c>
      <c r="HI78" s="10">
        <v>0</v>
      </c>
      <c r="HJ78" s="10">
        <v>0</v>
      </c>
      <c r="HK78" s="10">
        <v>0</v>
      </c>
      <c r="HL78" s="10">
        <v>0</v>
      </c>
      <c r="HM78" s="10">
        <v>0</v>
      </c>
      <c r="HN78" s="81">
        <v>0</v>
      </c>
      <c r="HO78" s="81">
        <v>0</v>
      </c>
      <c r="HP78" s="81">
        <v>0</v>
      </c>
      <c r="HQ78" s="81">
        <v>0</v>
      </c>
      <c r="HR78" s="81">
        <v>0</v>
      </c>
      <c r="HS78" s="12">
        <v>0</v>
      </c>
      <c r="HT78" s="12">
        <v>0</v>
      </c>
      <c r="HU78" s="12">
        <v>2</v>
      </c>
      <c r="HV78" s="12">
        <v>0</v>
      </c>
      <c r="HW78" s="12">
        <v>0</v>
      </c>
      <c r="HX78" s="12">
        <v>0</v>
      </c>
      <c r="HY78" s="12">
        <v>0</v>
      </c>
      <c r="HZ78" s="12">
        <v>0</v>
      </c>
      <c r="IA78" s="12">
        <v>0</v>
      </c>
      <c r="IB78" s="12">
        <v>0</v>
      </c>
      <c r="IC78" s="12">
        <v>0</v>
      </c>
      <c r="ID78" s="12">
        <v>4</v>
      </c>
      <c r="IE78" s="12">
        <v>0</v>
      </c>
      <c r="IF78" s="12">
        <v>0</v>
      </c>
      <c r="IG78" s="12">
        <v>0</v>
      </c>
      <c r="IH78" s="12">
        <v>0</v>
      </c>
      <c r="II78" s="12">
        <v>0</v>
      </c>
      <c r="IJ78" s="12">
        <v>0</v>
      </c>
      <c r="IK78" s="12">
        <v>1</v>
      </c>
      <c r="IL78" s="12">
        <v>0</v>
      </c>
      <c r="IM78" s="12">
        <v>0</v>
      </c>
      <c r="IN78" s="12">
        <v>0</v>
      </c>
      <c r="IO78" s="12">
        <v>0</v>
      </c>
      <c r="IP78" s="12">
        <v>0</v>
      </c>
      <c r="IQ78" s="12">
        <v>0</v>
      </c>
      <c r="IR78" s="12">
        <v>0</v>
      </c>
      <c r="IS78" s="12">
        <v>0</v>
      </c>
      <c r="IT78" s="12">
        <v>0</v>
      </c>
      <c r="IU78" s="12">
        <v>3</v>
      </c>
      <c r="IV78" s="12">
        <v>0</v>
      </c>
      <c r="IW78" s="12">
        <v>0</v>
      </c>
      <c r="IX78" s="11">
        <v>15000</v>
      </c>
      <c r="IY78" s="11">
        <v>15000</v>
      </c>
      <c r="IZ78" s="11">
        <v>15000</v>
      </c>
      <c r="JA78" s="85">
        <v>1</v>
      </c>
      <c r="JB78" s="85">
        <v>0</v>
      </c>
      <c r="JC78" s="85">
        <v>0</v>
      </c>
      <c r="JD78" s="12">
        <v>24</v>
      </c>
      <c r="JE78" s="12">
        <v>6</v>
      </c>
      <c r="JF78" s="12">
        <v>24</v>
      </c>
      <c r="JG78" s="12">
        <v>6</v>
      </c>
      <c r="JH78" s="12">
        <v>24</v>
      </c>
      <c r="JI78" s="12">
        <v>8</v>
      </c>
      <c r="JJ78" s="13" t="s">
        <v>619</v>
      </c>
      <c r="JK78" s="13" t="s">
        <v>619</v>
      </c>
      <c r="JL78" s="13" t="s">
        <v>297</v>
      </c>
      <c r="JM78" s="89"/>
      <c r="JN78" s="89"/>
      <c r="JO78" s="89" t="s">
        <v>296</v>
      </c>
      <c r="JP78" s="89"/>
      <c r="JQ78" s="89"/>
      <c r="JR78" s="89" t="s">
        <v>296</v>
      </c>
      <c r="JS78" s="89" t="s">
        <v>619</v>
      </c>
      <c r="JT78" s="89" t="s">
        <v>620</v>
      </c>
      <c r="JU78" s="89" t="s">
        <v>296</v>
      </c>
      <c r="JV78" s="89"/>
      <c r="JW78" s="89"/>
      <c r="JX78" s="89" t="s">
        <v>297</v>
      </c>
      <c r="JY78" s="12" t="s">
        <v>619</v>
      </c>
      <c r="JZ78" s="12" t="s">
        <v>34</v>
      </c>
      <c r="KA78" s="12" t="s">
        <v>34</v>
      </c>
      <c r="KB78" s="12" t="s">
        <v>34</v>
      </c>
      <c r="KC78" s="12" t="s">
        <v>34</v>
      </c>
      <c r="KD78" s="12" t="s">
        <v>34</v>
      </c>
      <c r="KE78" s="12" t="s">
        <v>34</v>
      </c>
      <c r="KF78" s="12"/>
      <c r="KG78" s="12" t="s">
        <v>34</v>
      </c>
      <c r="KH78" s="12" t="s">
        <v>34</v>
      </c>
      <c r="KI78" s="12" t="s">
        <v>34</v>
      </c>
      <c r="KJ78" s="12" t="s">
        <v>34</v>
      </c>
      <c r="KK78" s="12" t="s">
        <v>34</v>
      </c>
      <c r="KL78" s="12" t="s">
        <v>34</v>
      </c>
      <c r="KM78" s="12" t="s">
        <v>619</v>
      </c>
      <c r="KN78" s="12" t="s">
        <v>619</v>
      </c>
      <c r="KO78" s="12" t="s">
        <v>619</v>
      </c>
      <c r="KP78" s="12" t="s">
        <v>34</v>
      </c>
      <c r="KQ78" s="12" t="s">
        <v>619</v>
      </c>
      <c r="KR78" s="12" t="s">
        <v>34</v>
      </c>
      <c r="KS78" s="12" t="s">
        <v>34</v>
      </c>
      <c r="KT78" s="12" t="s">
        <v>619</v>
      </c>
      <c r="KU78" s="12" t="s">
        <v>34</v>
      </c>
      <c r="KV78" s="12" t="s">
        <v>34</v>
      </c>
      <c r="KW78" s="12" t="s">
        <v>34</v>
      </c>
      <c r="KX78" s="12" t="s">
        <v>34</v>
      </c>
      <c r="KY78" s="12" t="s">
        <v>34</v>
      </c>
      <c r="KZ78" s="12" t="s">
        <v>34</v>
      </c>
      <c r="LA78" s="12" t="s">
        <v>34</v>
      </c>
      <c r="LB78" s="12" t="s">
        <v>619</v>
      </c>
      <c r="LC78" s="12" t="s">
        <v>34</v>
      </c>
      <c r="LD78" s="12" t="s">
        <v>619</v>
      </c>
      <c r="LE78" s="12" t="s">
        <v>619</v>
      </c>
      <c r="LF78" s="12" t="s">
        <v>34</v>
      </c>
      <c r="LG78" s="12" t="s">
        <v>34</v>
      </c>
      <c r="LH78" s="12" t="s">
        <v>34</v>
      </c>
      <c r="LI78" s="12" t="s">
        <v>34</v>
      </c>
      <c r="LJ78" s="12" t="s">
        <v>619</v>
      </c>
      <c r="LK78" s="12" t="s">
        <v>34</v>
      </c>
      <c r="LL78" s="13" t="s">
        <v>619</v>
      </c>
      <c r="LM78" s="13" t="s">
        <v>34</v>
      </c>
      <c r="LN78" s="13" t="s">
        <v>34</v>
      </c>
      <c r="LO78" s="13" t="s">
        <v>34</v>
      </c>
      <c r="LP78" s="90" t="s">
        <v>34</v>
      </c>
      <c r="LQ78" s="13" t="s">
        <v>34</v>
      </c>
      <c r="LR78" s="13" t="s">
        <v>34</v>
      </c>
      <c r="LS78" s="13"/>
      <c r="LT78" s="13" t="s">
        <v>34</v>
      </c>
      <c r="LU78" s="13" t="s">
        <v>34</v>
      </c>
      <c r="LV78" s="13" t="s">
        <v>34</v>
      </c>
      <c r="LW78" s="13" t="s">
        <v>34</v>
      </c>
      <c r="LX78" s="13" t="s">
        <v>34</v>
      </c>
      <c r="LY78" s="13" t="s">
        <v>34</v>
      </c>
      <c r="LZ78" s="13" t="s">
        <v>619</v>
      </c>
      <c r="MA78" s="13" t="s">
        <v>619</v>
      </c>
      <c r="MB78" s="13" t="s">
        <v>619</v>
      </c>
      <c r="MC78" s="13" t="s">
        <v>34</v>
      </c>
      <c r="MD78" s="13" t="s">
        <v>619</v>
      </c>
      <c r="ME78" s="13" t="s">
        <v>619</v>
      </c>
      <c r="MF78" s="13" t="s">
        <v>34</v>
      </c>
      <c r="MG78" s="13" t="s">
        <v>619</v>
      </c>
      <c r="MH78" s="13" t="s">
        <v>34</v>
      </c>
      <c r="MI78" s="13" t="s">
        <v>34</v>
      </c>
      <c r="MJ78" s="13" t="s">
        <v>34</v>
      </c>
      <c r="MK78" s="13" t="s">
        <v>34</v>
      </c>
      <c r="ML78" s="13" t="s">
        <v>34</v>
      </c>
      <c r="MM78" s="13" t="s">
        <v>34</v>
      </c>
      <c r="MN78" s="13" t="s">
        <v>34</v>
      </c>
      <c r="MO78" s="13" t="s">
        <v>619</v>
      </c>
      <c r="MP78" s="13" t="s">
        <v>619</v>
      </c>
      <c r="MQ78" s="13" t="s">
        <v>619</v>
      </c>
      <c r="MR78" s="13" t="s">
        <v>619</v>
      </c>
      <c r="MS78" s="13" t="s">
        <v>34</v>
      </c>
      <c r="MT78" s="13" t="s">
        <v>34</v>
      </c>
      <c r="MU78" s="13" t="s">
        <v>34</v>
      </c>
      <c r="MV78" s="13" t="s">
        <v>34</v>
      </c>
      <c r="MW78" s="13" t="s">
        <v>34</v>
      </c>
      <c r="MX78" s="13" t="s">
        <v>34</v>
      </c>
      <c r="MY78" s="28" t="s">
        <v>296</v>
      </c>
      <c r="MZ78" s="28" t="s">
        <v>297</v>
      </c>
      <c r="NA78" s="28" t="s">
        <v>296</v>
      </c>
      <c r="NB78" s="28" t="s">
        <v>296</v>
      </c>
      <c r="NC78" s="28" t="s">
        <v>296</v>
      </c>
      <c r="ND78" s="28" t="s">
        <v>297</v>
      </c>
      <c r="NE78" s="28" t="s">
        <v>296</v>
      </c>
      <c r="NF78" s="28" t="s">
        <v>297</v>
      </c>
      <c r="NG78" s="28" t="s">
        <v>297</v>
      </c>
      <c r="NH78" s="28" t="s">
        <v>297</v>
      </c>
      <c r="NI78" s="177" t="s">
        <v>296</v>
      </c>
      <c r="NJ78" s="177" t="s">
        <v>297</v>
      </c>
      <c r="NK78" s="177" t="s">
        <v>297</v>
      </c>
      <c r="NL78" s="177" t="s">
        <v>297</v>
      </c>
      <c r="NM78" s="177" t="s">
        <v>296</v>
      </c>
      <c r="NN78" s="177" t="s">
        <v>296</v>
      </c>
      <c r="NO78" s="177" t="s">
        <v>296</v>
      </c>
      <c r="NP78" s="177" t="s">
        <v>297</v>
      </c>
      <c r="NQ78" s="177" t="s">
        <v>296</v>
      </c>
      <c r="NR78" s="12" t="s">
        <v>34</v>
      </c>
      <c r="NS78" s="13" t="s">
        <v>34</v>
      </c>
    </row>
    <row r="79" spans="1:383" x14ac:dyDescent="0.25">
      <c r="A79" s="8" t="s">
        <v>199</v>
      </c>
      <c r="B79" s="9" t="s">
        <v>200</v>
      </c>
      <c r="C79" s="9">
        <v>11</v>
      </c>
      <c r="D79" s="9" t="s">
        <v>196</v>
      </c>
      <c r="E79" s="10">
        <v>131</v>
      </c>
      <c r="F79" s="10">
        <v>127</v>
      </c>
      <c r="G79" s="10">
        <v>111</v>
      </c>
      <c r="H79" s="10">
        <v>102</v>
      </c>
      <c r="I79" s="10">
        <v>73</v>
      </c>
      <c r="J79" s="11">
        <v>747</v>
      </c>
      <c r="K79" s="11">
        <v>678</v>
      </c>
      <c r="L79" s="11">
        <v>595</v>
      </c>
      <c r="M79" s="11">
        <v>478</v>
      </c>
      <c r="N79" s="11">
        <v>317</v>
      </c>
      <c r="O79" s="13">
        <v>11026</v>
      </c>
      <c r="P79" s="13">
        <v>10414</v>
      </c>
      <c r="Q79" s="13">
        <v>9750</v>
      </c>
      <c r="R79" s="13">
        <v>9426</v>
      </c>
      <c r="S79" s="13">
        <v>5302</v>
      </c>
      <c r="T79" s="12">
        <v>3417</v>
      </c>
      <c r="U79" s="12">
        <v>3093</v>
      </c>
      <c r="V79" s="12">
        <v>2410</v>
      </c>
      <c r="W79" s="12">
        <v>2239</v>
      </c>
      <c r="X79" s="12">
        <v>1565</v>
      </c>
      <c r="Y79" s="12">
        <v>6.06</v>
      </c>
      <c r="Z79" s="12">
        <v>6.08</v>
      </c>
      <c r="AA79" s="12">
        <v>6.06</v>
      </c>
      <c r="AB79" s="13">
        <v>6.06</v>
      </c>
      <c r="AC79" s="13">
        <v>6.08</v>
      </c>
      <c r="AD79" s="13">
        <v>6.06</v>
      </c>
      <c r="AE79" s="35" t="s">
        <v>258</v>
      </c>
      <c r="AF79" s="35" t="s">
        <v>258</v>
      </c>
      <c r="AG79" s="35" t="s">
        <v>258</v>
      </c>
      <c r="AH79" s="38">
        <v>1</v>
      </c>
      <c r="AI79" s="38">
        <v>1</v>
      </c>
      <c r="AJ79" s="38">
        <v>1</v>
      </c>
      <c r="AK79" s="45" t="s">
        <v>34</v>
      </c>
      <c r="AL79" s="45" t="s">
        <v>34</v>
      </c>
      <c r="AM79" s="45" t="s">
        <v>34</v>
      </c>
      <c r="AN79" s="45" t="s">
        <v>34</v>
      </c>
      <c r="AO79" s="45" t="s">
        <v>34</v>
      </c>
      <c r="AP79" s="45" t="s">
        <v>292</v>
      </c>
      <c r="AQ79" s="53" t="s">
        <v>297</v>
      </c>
      <c r="AR79" s="56">
        <v>256</v>
      </c>
      <c r="AS79" s="57">
        <v>42</v>
      </c>
      <c r="AT79" s="56">
        <v>132</v>
      </c>
      <c r="AU79" s="57">
        <v>19456</v>
      </c>
      <c r="AV79" s="57">
        <v>4914</v>
      </c>
      <c r="AW79" s="57">
        <v>17305</v>
      </c>
      <c r="AX79" s="57">
        <v>31</v>
      </c>
      <c r="AY79" s="57">
        <v>0</v>
      </c>
      <c r="AZ79" s="57">
        <v>0</v>
      </c>
      <c r="BA79" s="57">
        <v>3930</v>
      </c>
      <c r="BB79" s="57">
        <v>5508</v>
      </c>
      <c r="BC79" s="57">
        <v>9622</v>
      </c>
      <c r="BD79" s="57">
        <v>0</v>
      </c>
      <c r="BE79" s="57">
        <v>2730</v>
      </c>
      <c r="BF79" s="57">
        <v>2184</v>
      </c>
      <c r="BG79" s="57">
        <v>709</v>
      </c>
      <c r="BH79" s="57">
        <v>2961</v>
      </c>
      <c r="BI79" s="57">
        <v>2172</v>
      </c>
      <c r="BJ79" s="57" t="s">
        <v>296</v>
      </c>
      <c r="BK79" s="57">
        <v>10</v>
      </c>
      <c r="BL79" s="57">
        <v>4</v>
      </c>
      <c r="BM79" s="57">
        <v>0</v>
      </c>
      <c r="BN79" s="57">
        <v>350</v>
      </c>
      <c r="BO79" s="57">
        <v>2500</v>
      </c>
      <c r="BP79" s="57">
        <v>650</v>
      </c>
      <c r="BQ79" s="76">
        <v>1093</v>
      </c>
      <c r="BR79" s="76">
        <v>1089</v>
      </c>
      <c r="BS79">
        <v>1078</v>
      </c>
      <c r="BT79">
        <v>1078</v>
      </c>
      <c r="BU79">
        <v>1075</v>
      </c>
      <c r="BV79">
        <v>157206</v>
      </c>
      <c r="BW79">
        <v>157341</v>
      </c>
      <c r="BX79">
        <v>156615</v>
      </c>
      <c r="BY79">
        <v>156948</v>
      </c>
      <c r="BZ79">
        <v>156372</v>
      </c>
      <c r="CA79">
        <v>131</v>
      </c>
      <c r="CB79">
        <v>127</v>
      </c>
      <c r="CC79">
        <v>113</v>
      </c>
      <c r="CD79">
        <v>102</v>
      </c>
      <c r="CE79">
        <v>73</v>
      </c>
      <c r="CF79">
        <v>14443</v>
      </c>
      <c r="CG79">
        <v>13507</v>
      </c>
      <c r="CH79">
        <v>12160</v>
      </c>
      <c r="CI79">
        <v>11665</v>
      </c>
      <c r="CJ79">
        <v>6867</v>
      </c>
      <c r="CK79" s="10">
        <v>83.1</v>
      </c>
      <c r="CL79" s="10">
        <v>83.2</v>
      </c>
      <c r="CM79" s="10">
        <v>83.1</v>
      </c>
      <c r="CN79" s="11">
        <v>23.23</v>
      </c>
      <c r="CO79" s="11">
        <v>23.23</v>
      </c>
      <c r="CP79" s="11">
        <v>23.23</v>
      </c>
      <c r="CQ79" s="13">
        <v>1</v>
      </c>
      <c r="CR79" s="13">
        <v>1</v>
      </c>
      <c r="CS79" s="13">
        <v>0</v>
      </c>
      <c r="CT79" s="10">
        <v>0</v>
      </c>
      <c r="CU79" s="10">
        <v>0</v>
      </c>
      <c r="CV79" s="10">
        <v>1</v>
      </c>
      <c r="CW79" s="10">
        <v>1</v>
      </c>
      <c r="CX79" s="10">
        <v>0</v>
      </c>
      <c r="CY79" s="10">
        <v>0</v>
      </c>
      <c r="CZ79" s="10">
        <v>0</v>
      </c>
      <c r="DA79" s="10">
        <v>0</v>
      </c>
      <c r="DB79" s="10">
        <v>0</v>
      </c>
      <c r="DC79" s="10">
        <v>0</v>
      </c>
      <c r="DD79" s="10">
        <v>0</v>
      </c>
      <c r="DE79" s="10">
        <v>0</v>
      </c>
      <c r="DF79" s="10">
        <v>0</v>
      </c>
      <c r="DG79" s="10">
        <v>0</v>
      </c>
      <c r="DH79" s="10">
        <v>0</v>
      </c>
      <c r="DI79" s="81">
        <v>0</v>
      </c>
      <c r="DJ79" s="81">
        <v>0</v>
      </c>
      <c r="DK79" s="81">
        <v>0</v>
      </c>
      <c r="DL79" s="81">
        <v>0</v>
      </c>
      <c r="DM79" s="81">
        <v>0</v>
      </c>
      <c r="DN79" s="12">
        <v>0</v>
      </c>
      <c r="DO79" s="12">
        <v>0</v>
      </c>
      <c r="DP79" s="12">
        <v>0</v>
      </c>
      <c r="DQ79" s="12">
        <v>0</v>
      </c>
      <c r="DR79" s="12">
        <v>0</v>
      </c>
      <c r="DS79" s="12">
        <v>0</v>
      </c>
      <c r="DT79" s="12">
        <v>0</v>
      </c>
      <c r="DU79" s="12">
        <v>0</v>
      </c>
      <c r="DV79" s="12">
        <v>0</v>
      </c>
      <c r="DW79" s="12">
        <v>0</v>
      </c>
      <c r="DX79" s="12">
        <v>0</v>
      </c>
      <c r="DY79" s="12">
        <v>0</v>
      </c>
      <c r="DZ79" s="12">
        <v>0</v>
      </c>
      <c r="EA79" s="12">
        <v>0</v>
      </c>
      <c r="EB79" s="12">
        <v>0</v>
      </c>
      <c r="EC79" s="12">
        <v>0</v>
      </c>
      <c r="ED79" s="12">
        <v>0</v>
      </c>
      <c r="EE79" s="12">
        <v>0</v>
      </c>
      <c r="EF79" s="12">
        <v>0</v>
      </c>
      <c r="EG79" s="12">
        <v>0</v>
      </c>
      <c r="EH79" s="12">
        <v>0</v>
      </c>
      <c r="EI79" s="12">
        <v>0</v>
      </c>
      <c r="EJ79" s="12">
        <v>0</v>
      </c>
      <c r="EK79" s="12">
        <v>0</v>
      </c>
      <c r="EL79" s="12">
        <v>0</v>
      </c>
      <c r="EM79" s="12">
        <v>0</v>
      </c>
      <c r="EN79" s="12">
        <v>0</v>
      </c>
      <c r="EO79" s="12">
        <v>0</v>
      </c>
      <c r="EP79" s="12">
        <v>0</v>
      </c>
      <c r="EQ79" s="12">
        <v>0</v>
      </c>
      <c r="ER79" s="12">
        <v>0</v>
      </c>
      <c r="ES79" s="13">
        <v>0</v>
      </c>
      <c r="ET79" s="13">
        <v>0</v>
      </c>
      <c r="EU79" s="13">
        <v>0</v>
      </c>
      <c r="EV79" s="10">
        <v>0</v>
      </c>
      <c r="EW79" s="10">
        <v>0</v>
      </c>
      <c r="EX79" s="10">
        <v>0</v>
      </c>
      <c r="EY79" s="10">
        <v>0</v>
      </c>
      <c r="EZ79" s="10">
        <v>0</v>
      </c>
      <c r="FA79" s="10">
        <v>0</v>
      </c>
      <c r="FB79" s="10">
        <v>0</v>
      </c>
      <c r="FC79" s="10">
        <v>0</v>
      </c>
      <c r="FD79" s="10">
        <v>0</v>
      </c>
      <c r="FE79" s="10">
        <v>0</v>
      </c>
      <c r="FF79" s="10">
        <v>0</v>
      </c>
      <c r="FG79" s="10">
        <v>0</v>
      </c>
      <c r="FH79" s="10">
        <v>0</v>
      </c>
      <c r="FI79" s="10">
        <v>0</v>
      </c>
      <c r="FJ79" s="10">
        <v>0</v>
      </c>
      <c r="FK79" s="81">
        <v>0</v>
      </c>
      <c r="FL79" s="81">
        <v>0</v>
      </c>
      <c r="FM79" s="81">
        <v>0</v>
      </c>
      <c r="FN79" s="81">
        <v>0</v>
      </c>
      <c r="FO79" s="81">
        <v>0</v>
      </c>
      <c r="FP79" s="12">
        <v>0</v>
      </c>
      <c r="FQ79" s="12">
        <v>0</v>
      </c>
      <c r="FR79" s="12">
        <v>0</v>
      </c>
      <c r="FS79" s="12">
        <v>0</v>
      </c>
      <c r="FT79" s="12">
        <v>0</v>
      </c>
      <c r="FU79" s="12">
        <v>0</v>
      </c>
      <c r="FV79" s="12">
        <v>0</v>
      </c>
      <c r="FW79" s="12">
        <v>0</v>
      </c>
      <c r="FX79" s="12">
        <v>0</v>
      </c>
      <c r="FY79" s="12">
        <v>0</v>
      </c>
      <c r="FZ79" s="12">
        <v>0</v>
      </c>
      <c r="GA79" s="12">
        <v>0</v>
      </c>
      <c r="GB79" s="12">
        <v>0</v>
      </c>
      <c r="GC79" s="12">
        <v>0</v>
      </c>
      <c r="GD79" s="12">
        <v>0</v>
      </c>
      <c r="GE79" s="12">
        <v>0</v>
      </c>
      <c r="GF79" s="12">
        <v>0</v>
      </c>
      <c r="GG79" s="12">
        <v>0</v>
      </c>
      <c r="GH79" s="12">
        <v>0</v>
      </c>
      <c r="GI79" s="12">
        <v>0</v>
      </c>
      <c r="GJ79" s="12">
        <v>0</v>
      </c>
      <c r="GK79" s="12">
        <v>0</v>
      </c>
      <c r="GL79" s="12">
        <v>0</v>
      </c>
      <c r="GM79" s="12">
        <v>0</v>
      </c>
      <c r="GN79" s="12">
        <v>0</v>
      </c>
      <c r="GO79" s="12">
        <v>0</v>
      </c>
      <c r="GP79" s="12">
        <v>0</v>
      </c>
      <c r="GQ79" s="12">
        <v>0</v>
      </c>
      <c r="GR79" s="12">
        <v>0</v>
      </c>
      <c r="GS79" s="12">
        <v>0</v>
      </c>
      <c r="GT79" s="12">
        <v>0</v>
      </c>
      <c r="GU79" s="13">
        <v>42</v>
      </c>
      <c r="GV79" s="13">
        <v>0</v>
      </c>
      <c r="GW79" s="13">
        <v>0</v>
      </c>
      <c r="GX79" s="13">
        <v>0</v>
      </c>
      <c r="GY79" s="10">
        <v>0</v>
      </c>
      <c r="GZ79" s="10">
        <v>0</v>
      </c>
      <c r="HA79" s="10">
        <v>0</v>
      </c>
      <c r="HB79" s="10">
        <v>0</v>
      </c>
      <c r="HC79" s="10">
        <v>0</v>
      </c>
      <c r="HD79" s="10">
        <v>0</v>
      </c>
      <c r="HE79" s="10">
        <v>0</v>
      </c>
      <c r="HF79" s="10">
        <v>0</v>
      </c>
      <c r="HG79" s="10">
        <v>0</v>
      </c>
      <c r="HH79" s="10">
        <v>0</v>
      </c>
      <c r="HI79" s="10">
        <v>0</v>
      </c>
      <c r="HJ79" s="10">
        <v>0</v>
      </c>
      <c r="HK79" s="10">
        <v>0</v>
      </c>
      <c r="HL79" s="10">
        <v>0</v>
      </c>
      <c r="HM79" s="10">
        <v>0</v>
      </c>
      <c r="HN79" s="81">
        <v>0</v>
      </c>
      <c r="HO79" s="81">
        <v>0</v>
      </c>
      <c r="HP79" s="81">
        <v>0</v>
      </c>
      <c r="HQ79" s="81">
        <v>0</v>
      </c>
      <c r="HR79" s="81">
        <v>0</v>
      </c>
      <c r="HS79" s="12">
        <v>0</v>
      </c>
      <c r="HT79" s="12">
        <v>0</v>
      </c>
      <c r="HU79" s="12">
        <v>0</v>
      </c>
      <c r="HV79" s="12">
        <v>0</v>
      </c>
      <c r="HW79" s="12">
        <v>0</v>
      </c>
      <c r="HX79" s="12">
        <v>0</v>
      </c>
      <c r="HY79" s="12">
        <v>0</v>
      </c>
      <c r="HZ79" s="12">
        <v>0</v>
      </c>
      <c r="IA79" s="12">
        <v>0</v>
      </c>
      <c r="IB79" s="12">
        <v>0</v>
      </c>
      <c r="IC79" s="12">
        <v>0</v>
      </c>
      <c r="ID79" s="12">
        <v>0</v>
      </c>
      <c r="IE79" s="12">
        <v>0</v>
      </c>
      <c r="IF79" s="12">
        <v>0</v>
      </c>
      <c r="IG79" s="12">
        <v>0</v>
      </c>
      <c r="IH79" s="12">
        <v>0</v>
      </c>
      <c r="II79" s="12">
        <v>0</v>
      </c>
      <c r="IJ79" s="12">
        <v>0</v>
      </c>
      <c r="IK79" s="12">
        <v>0</v>
      </c>
      <c r="IL79" s="12">
        <v>0</v>
      </c>
      <c r="IM79" s="12">
        <v>0</v>
      </c>
      <c r="IN79" s="12">
        <v>0</v>
      </c>
      <c r="IO79" s="12">
        <v>0</v>
      </c>
      <c r="IP79" s="12">
        <v>0</v>
      </c>
      <c r="IQ79" s="12">
        <v>0</v>
      </c>
      <c r="IR79" s="12">
        <v>0</v>
      </c>
      <c r="IS79" s="12">
        <v>0</v>
      </c>
      <c r="IT79" s="12">
        <v>0</v>
      </c>
      <c r="IU79" s="12">
        <v>0</v>
      </c>
      <c r="IV79" s="12">
        <v>0</v>
      </c>
      <c r="IW79" s="12">
        <v>0</v>
      </c>
      <c r="IX79" s="11">
        <v>38000</v>
      </c>
      <c r="IY79" s="11">
        <v>30000</v>
      </c>
      <c r="IZ79" s="11">
        <v>27000</v>
      </c>
      <c r="JA79" s="85" t="s">
        <v>604</v>
      </c>
      <c r="JB79" s="85">
        <v>0</v>
      </c>
      <c r="JC79" s="85" t="s">
        <v>602</v>
      </c>
      <c r="JD79" s="12">
        <v>27</v>
      </c>
      <c r="JE79" s="12">
        <v>8</v>
      </c>
      <c r="JF79" s="12">
        <v>27</v>
      </c>
      <c r="JG79" s="12">
        <v>8</v>
      </c>
      <c r="JH79" s="12">
        <v>26</v>
      </c>
      <c r="JI79" s="12">
        <v>7</v>
      </c>
      <c r="JJ79" s="13" t="s">
        <v>619</v>
      </c>
      <c r="JK79" s="13" t="s">
        <v>619</v>
      </c>
      <c r="JL79" s="13" t="s">
        <v>296</v>
      </c>
      <c r="JM79" s="89"/>
      <c r="JN79" s="89"/>
      <c r="JO79" s="89" t="s">
        <v>296</v>
      </c>
      <c r="JP79" s="89"/>
      <c r="JQ79" s="89"/>
      <c r="JR79" s="89" t="s">
        <v>296</v>
      </c>
      <c r="JS79" s="89" t="s">
        <v>619</v>
      </c>
      <c r="JT79" s="89" t="s">
        <v>619</v>
      </c>
      <c r="JU79" s="89" t="s">
        <v>296</v>
      </c>
      <c r="JV79" s="89"/>
      <c r="JW79" s="89"/>
      <c r="JX79" s="89" t="s">
        <v>297</v>
      </c>
      <c r="JY79" s="12" t="s">
        <v>34</v>
      </c>
      <c r="JZ79" s="12" t="s">
        <v>34</v>
      </c>
      <c r="KA79" s="12" t="s">
        <v>34</v>
      </c>
      <c r="KB79" s="12" t="s">
        <v>34</v>
      </c>
      <c r="KC79" s="12" t="s">
        <v>34</v>
      </c>
      <c r="KD79" s="12" t="s">
        <v>34</v>
      </c>
      <c r="KE79" s="12" t="s">
        <v>34</v>
      </c>
      <c r="KF79" s="12"/>
      <c r="KG79" s="12" t="s">
        <v>34</v>
      </c>
      <c r="KH79" s="12" t="s">
        <v>34</v>
      </c>
      <c r="KI79" s="12" t="s">
        <v>34</v>
      </c>
      <c r="KJ79" s="12" t="s">
        <v>34</v>
      </c>
      <c r="KK79" s="12" t="s">
        <v>34</v>
      </c>
      <c r="KL79" s="12" t="s">
        <v>34</v>
      </c>
      <c r="KM79" s="12" t="s">
        <v>34</v>
      </c>
      <c r="KN79" s="12" t="s">
        <v>619</v>
      </c>
      <c r="KO79" s="12" t="s">
        <v>34</v>
      </c>
      <c r="KP79" s="12" t="s">
        <v>34</v>
      </c>
      <c r="KQ79" s="12" t="s">
        <v>619</v>
      </c>
      <c r="KR79" s="12" t="s">
        <v>34</v>
      </c>
      <c r="KS79" s="12" t="s">
        <v>34</v>
      </c>
      <c r="KT79" s="12" t="s">
        <v>34</v>
      </c>
      <c r="KU79" s="12" t="s">
        <v>34</v>
      </c>
      <c r="KV79" s="12" t="s">
        <v>34</v>
      </c>
      <c r="KW79" s="12" t="s">
        <v>34</v>
      </c>
      <c r="KX79" s="12" t="s">
        <v>34</v>
      </c>
      <c r="KY79" s="12" t="s">
        <v>34</v>
      </c>
      <c r="KZ79" s="12" t="s">
        <v>34</v>
      </c>
      <c r="LA79" s="12" t="s">
        <v>34</v>
      </c>
      <c r="LB79" s="12" t="s">
        <v>619</v>
      </c>
      <c r="LC79" s="12" t="s">
        <v>34</v>
      </c>
      <c r="LD79" s="12" t="s">
        <v>34</v>
      </c>
      <c r="LE79" s="12" t="s">
        <v>34</v>
      </c>
      <c r="LF79" s="12" t="s">
        <v>34</v>
      </c>
      <c r="LG79" s="12" t="s">
        <v>34</v>
      </c>
      <c r="LH79" s="12" t="s">
        <v>34</v>
      </c>
      <c r="LI79" s="12" t="s">
        <v>34</v>
      </c>
      <c r="LJ79" s="12" t="s">
        <v>619</v>
      </c>
      <c r="LK79" s="12" t="s">
        <v>34</v>
      </c>
      <c r="LL79" s="13" t="s">
        <v>34</v>
      </c>
      <c r="LM79" s="13" t="s">
        <v>34</v>
      </c>
      <c r="LN79" s="13" t="s">
        <v>34</v>
      </c>
      <c r="LO79" s="13" t="s">
        <v>34</v>
      </c>
      <c r="LP79" s="90" t="s">
        <v>34</v>
      </c>
      <c r="LQ79" s="13" t="s">
        <v>34</v>
      </c>
      <c r="LR79" s="13" t="s">
        <v>34</v>
      </c>
      <c r="LS79" s="13"/>
      <c r="LT79" s="13" t="s">
        <v>34</v>
      </c>
      <c r="LU79" s="13" t="s">
        <v>34</v>
      </c>
      <c r="LV79" s="13" t="s">
        <v>34</v>
      </c>
      <c r="LW79" s="13" t="s">
        <v>34</v>
      </c>
      <c r="LX79" s="13" t="s">
        <v>34</v>
      </c>
      <c r="LY79" s="13" t="s">
        <v>34</v>
      </c>
      <c r="LZ79" s="13" t="s">
        <v>34</v>
      </c>
      <c r="MA79" s="13" t="s">
        <v>619</v>
      </c>
      <c r="MB79" s="13" t="s">
        <v>34</v>
      </c>
      <c r="MC79" s="13" t="s">
        <v>34</v>
      </c>
      <c r="MD79" s="13" t="s">
        <v>34</v>
      </c>
      <c r="ME79" s="13" t="s">
        <v>34</v>
      </c>
      <c r="MF79" s="13" t="s">
        <v>34</v>
      </c>
      <c r="MG79" s="13" t="s">
        <v>34</v>
      </c>
      <c r="MH79" s="13" t="s">
        <v>34</v>
      </c>
      <c r="MI79" s="13" t="s">
        <v>34</v>
      </c>
      <c r="MJ79" s="13" t="s">
        <v>34</v>
      </c>
      <c r="MK79" s="13" t="s">
        <v>34</v>
      </c>
      <c r="ML79" s="13" t="s">
        <v>34</v>
      </c>
      <c r="MM79" s="13" t="s">
        <v>34</v>
      </c>
      <c r="MN79" s="13" t="s">
        <v>34</v>
      </c>
      <c r="MO79" s="13" t="s">
        <v>619</v>
      </c>
      <c r="MP79" s="13" t="s">
        <v>34</v>
      </c>
      <c r="MQ79" s="13" t="s">
        <v>619</v>
      </c>
      <c r="MR79" s="13" t="s">
        <v>34</v>
      </c>
      <c r="MS79" s="13" t="s">
        <v>34</v>
      </c>
      <c r="MT79" s="13" t="s">
        <v>34</v>
      </c>
      <c r="MU79" s="13" t="s">
        <v>34</v>
      </c>
      <c r="MV79" s="13" t="s">
        <v>34</v>
      </c>
      <c r="MW79" s="13" t="s">
        <v>34</v>
      </c>
      <c r="MX79" s="13" t="s">
        <v>34</v>
      </c>
      <c r="MY79" s="28" t="s">
        <v>296</v>
      </c>
      <c r="MZ79" s="28" t="s">
        <v>296</v>
      </c>
      <c r="NA79" s="28" t="s">
        <v>296</v>
      </c>
      <c r="NB79" s="28" t="s">
        <v>296</v>
      </c>
      <c r="NC79" s="28" t="s">
        <v>296</v>
      </c>
      <c r="ND79" s="28" t="s">
        <v>296</v>
      </c>
      <c r="NE79" s="28" t="s">
        <v>296</v>
      </c>
      <c r="NF79" s="28" t="s">
        <v>297</v>
      </c>
      <c r="NG79" s="28" t="s">
        <v>297</v>
      </c>
      <c r="NH79" s="28" t="s">
        <v>297</v>
      </c>
      <c r="NI79" s="177" t="s">
        <v>296</v>
      </c>
      <c r="NJ79" s="177" t="s">
        <v>297</v>
      </c>
      <c r="NK79" s="177" t="s">
        <v>296</v>
      </c>
      <c r="NL79" s="177" t="s">
        <v>297</v>
      </c>
      <c r="NM79" s="177" t="s">
        <v>296</v>
      </c>
      <c r="NN79" s="177" t="s">
        <v>297</v>
      </c>
      <c r="NO79" s="177" t="s">
        <v>297</v>
      </c>
      <c r="NP79" s="177" t="s">
        <v>297</v>
      </c>
      <c r="NQ79" s="177" t="s">
        <v>296</v>
      </c>
      <c r="NR79" s="12" t="s">
        <v>34</v>
      </c>
      <c r="NS79" s="13" t="s">
        <v>34</v>
      </c>
    </row>
    <row r="80" spans="1:383" x14ac:dyDescent="0.25">
      <c r="A80" s="8" t="s">
        <v>201</v>
      </c>
      <c r="B80" s="9" t="s">
        <v>202</v>
      </c>
      <c r="C80" s="9">
        <v>11</v>
      </c>
      <c r="D80" s="9" t="s">
        <v>196</v>
      </c>
      <c r="E80" s="10">
        <v>164</v>
      </c>
      <c r="F80" s="10">
        <v>157</v>
      </c>
      <c r="G80" s="10">
        <v>142</v>
      </c>
      <c r="H80" s="10">
        <v>139</v>
      </c>
      <c r="I80" s="10">
        <v>107</v>
      </c>
      <c r="J80" s="11">
        <v>1033</v>
      </c>
      <c r="K80" s="11">
        <v>910</v>
      </c>
      <c r="L80" s="11">
        <v>839</v>
      </c>
      <c r="M80" s="11">
        <v>842</v>
      </c>
      <c r="N80" s="11">
        <v>572</v>
      </c>
      <c r="O80" s="13">
        <v>16831</v>
      </c>
      <c r="P80" s="13">
        <v>15564</v>
      </c>
      <c r="Q80" s="13">
        <v>15077</v>
      </c>
      <c r="R80" s="13">
        <v>15708</v>
      </c>
      <c r="S80" s="13">
        <v>12265</v>
      </c>
      <c r="T80" s="12">
        <v>2439</v>
      </c>
      <c r="U80" s="12">
        <v>2398</v>
      </c>
      <c r="V80" s="12">
        <v>2323</v>
      </c>
      <c r="W80" s="12">
        <v>2499</v>
      </c>
      <c r="X80" s="12">
        <v>1608</v>
      </c>
      <c r="Y80" s="12">
        <v>5.5</v>
      </c>
      <c r="Z80" s="12">
        <v>5.5</v>
      </c>
      <c r="AA80" s="12">
        <v>5.5</v>
      </c>
      <c r="AB80" s="13">
        <v>5</v>
      </c>
      <c r="AC80" s="13">
        <v>5</v>
      </c>
      <c r="AD80" s="13">
        <v>5</v>
      </c>
      <c r="AE80" s="35" t="s">
        <v>258</v>
      </c>
      <c r="AF80" s="35" t="s">
        <v>258</v>
      </c>
      <c r="AG80" s="35" t="s">
        <v>258</v>
      </c>
      <c r="AH80" s="38">
        <v>1</v>
      </c>
      <c r="AI80" s="38">
        <v>1</v>
      </c>
      <c r="AJ80" s="38">
        <v>1</v>
      </c>
      <c r="AK80" s="45" t="s">
        <v>34</v>
      </c>
      <c r="AL80" s="45" t="s">
        <v>34</v>
      </c>
      <c r="AM80" s="45" t="s">
        <v>34</v>
      </c>
      <c r="AN80" s="45" t="s">
        <v>293</v>
      </c>
      <c r="AO80" s="45" t="s">
        <v>34</v>
      </c>
      <c r="AP80" s="45" t="s">
        <v>292</v>
      </c>
      <c r="AQ80" s="53" t="s">
        <v>297</v>
      </c>
      <c r="AR80" s="56">
        <v>177</v>
      </c>
      <c r="AS80" s="57">
        <v>73</v>
      </c>
      <c r="AT80" s="56">
        <v>166</v>
      </c>
      <c r="AU80" s="57">
        <v>29566</v>
      </c>
      <c r="AV80" s="57">
        <v>12323</v>
      </c>
      <c r="AW80" s="57">
        <v>17700</v>
      </c>
      <c r="AX80" s="57">
        <v>8</v>
      </c>
      <c r="AY80" s="57">
        <v>8</v>
      </c>
      <c r="AZ80" s="57">
        <v>8</v>
      </c>
      <c r="BA80" s="57">
        <v>2102</v>
      </c>
      <c r="BB80" s="57">
        <v>12970</v>
      </c>
      <c r="BC80" s="57">
        <v>10167</v>
      </c>
      <c r="BD80" s="57">
        <v>1446</v>
      </c>
      <c r="BE80" s="57">
        <v>4921</v>
      </c>
      <c r="BF80" s="57">
        <v>5097</v>
      </c>
      <c r="BG80" s="57">
        <v>782</v>
      </c>
      <c r="BH80" s="57">
        <v>7076</v>
      </c>
      <c r="BI80" s="57">
        <v>7620</v>
      </c>
      <c r="BJ80" s="57" t="s">
        <v>296</v>
      </c>
      <c r="BK80" s="57">
        <v>38</v>
      </c>
      <c r="BL80" s="57">
        <v>1</v>
      </c>
      <c r="BM80" s="57">
        <v>0</v>
      </c>
      <c r="BN80" s="57">
        <v>587</v>
      </c>
      <c r="BO80" s="57">
        <v>864</v>
      </c>
      <c r="BP80" s="57">
        <v>672</v>
      </c>
      <c r="BQ80" s="76">
        <v>971</v>
      </c>
      <c r="BR80" s="76">
        <v>969</v>
      </c>
      <c r="BS80">
        <v>964</v>
      </c>
      <c r="BT80">
        <v>964</v>
      </c>
      <c r="BU80">
        <v>961</v>
      </c>
      <c r="BV80">
        <v>149287</v>
      </c>
      <c r="BW80">
        <v>148974</v>
      </c>
      <c r="BX80">
        <v>148729</v>
      </c>
      <c r="BY80">
        <v>149423</v>
      </c>
      <c r="BZ80">
        <v>148533</v>
      </c>
      <c r="CA80">
        <v>164</v>
      </c>
      <c r="CB80">
        <v>152</v>
      </c>
      <c r="CC80">
        <v>136</v>
      </c>
      <c r="CD80">
        <v>133</v>
      </c>
      <c r="CE80">
        <v>104</v>
      </c>
      <c r="CF80">
        <v>19270</v>
      </c>
      <c r="CG80">
        <v>17962</v>
      </c>
      <c r="CH80">
        <v>17400</v>
      </c>
      <c r="CI80">
        <v>18207</v>
      </c>
      <c r="CJ80">
        <v>13873</v>
      </c>
      <c r="CK80" s="10">
        <v>15</v>
      </c>
      <c r="CL80" s="10">
        <v>15</v>
      </c>
      <c r="CM80" s="10">
        <v>15.1</v>
      </c>
      <c r="CN80" s="11">
        <v>15</v>
      </c>
      <c r="CO80" s="11">
        <v>15</v>
      </c>
      <c r="CP80" s="11">
        <v>15</v>
      </c>
      <c r="CQ80" s="13">
        <v>37</v>
      </c>
      <c r="CR80" s="13">
        <v>7</v>
      </c>
      <c r="CS80" s="13">
        <v>0</v>
      </c>
      <c r="CT80" s="10">
        <v>0</v>
      </c>
      <c r="CU80" s="10">
        <v>2</v>
      </c>
      <c r="CV80" s="10">
        <v>30</v>
      </c>
      <c r="CW80" s="10">
        <v>15</v>
      </c>
      <c r="CX80" s="10">
        <v>16</v>
      </c>
      <c r="CY80" s="10">
        <v>0</v>
      </c>
      <c r="CZ80" s="10">
        <v>0</v>
      </c>
      <c r="DA80" s="10">
        <v>0</v>
      </c>
      <c r="DB80" s="10">
        <v>10</v>
      </c>
      <c r="DC80" s="10">
        <v>3</v>
      </c>
      <c r="DD80" s="10">
        <v>4</v>
      </c>
      <c r="DE80" s="10">
        <v>0</v>
      </c>
      <c r="DF80" s="10">
        <v>9</v>
      </c>
      <c r="DG80" s="10">
        <v>1</v>
      </c>
      <c r="DH80" s="10">
        <v>2</v>
      </c>
      <c r="DI80" s="81">
        <v>6</v>
      </c>
      <c r="DJ80" s="81">
        <v>2</v>
      </c>
      <c r="DK80" s="81">
        <v>2</v>
      </c>
      <c r="DL80" s="81">
        <v>3</v>
      </c>
      <c r="DM80" s="81">
        <v>16</v>
      </c>
      <c r="DN80" s="12">
        <v>8</v>
      </c>
      <c r="DO80" s="12">
        <v>0</v>
      </c>
      <c r="DP80" s="12">
        <v>5</v>
      </c>
      <c r="DQ80" s="12">
        <v>3</v>
      </c>
      <c r="DR80" s="12">
        <v>0</v>
      </c>
      <c r="DS80" s="12">
        <v>0</v>
      </c>
      <c r="DT80" s="12">
        <v>1</v>
      </c>
      <c r="DU80" s="12">
        <v>0</v>
      </c>
      <c r="DV80" s="12">
        <v>26</v>
      </c>
      <c r="DW80" s="12">
        <v>2</v>
      </c>
      <c r="DX80" s="12">
        <v>4</v>
      </c>
      <c r="DY80" s="12">
        <v>11</v>
      </c>
      <c r="DZ80" s="12">
        <v>1</v>
      </c>
      <c r="EA80" s="12">
        <v>0</v>
      </c>
      <c r="EB80" s="12">
        <v>17</v>
      </c>
      <c r="EC80" s="12">
        <v>2</v>
      </c>
      <c r="ED80" s="12">
        <v>10</v>
      </c>
      <c r="EE80" s="12">
        <v>3</v>
      </c>
      <c r="EF80" s="12">
        <v>5</v>
      </c>
      <c r="EG80" s="12">
        <v>0</v>
      </c>
      <c r="EH80" s="12">
        <v>0</v>
      </c>
      <c r="EI80" s="12">
        <v>1</v>
      </c>
      <c r="EJ80" s="12">
        <v>4</v>
      </c>
      <c r="EK80" s="12">
        <v>0</v>
      </c>
      <c r="EL80" s="12">
        <v>4</v>
      </c>
      <c r="EM80" s="12">
        <v>2</v>
      </c>
      <c r="EN80" s="12">
        <v>8</v>
      </c>
      <c r="EO80" s="12">
        <v>0</v>
      </c>
      <c r="EP80" s="12">
        <v>9</v>
      </c>
      <c r="EQ80" s="12">
        <v>6</v>
      </c>
      <c r="ER80" s="12">
        <v>0</v>
      </c>
      <c r="ES80" s="13">
        <v>5</v>
      </c>
      <c r="ET80" s="13">
        <v>0</v>
      </c>
      <c r="EU80" s="13">
        <v>0</v>
      </c>
      <c r="EV80" s="10">
        <v>0</v>
      </c>
      <c r="EW80" s="10">
        <v>0</v>
      </c>
      <c r="EX80" s="10">
        <v>1</v>
      </c>
      <c r="EY80" s="10">
        <v>4</v>
      </c>
      <c r="EZ80" s="10">
        <v>1</v>
      </c>
      <c r="FA80" s="10">
        <v>0</v>
      </c>
      <c r="FB80" s="10">
        <v>0</v>
      </c>
      <c r="FC80" s="10">
        <v>0</v>
      </c>
      <c r="FD80" s="10">
        <v>0</v>
      </c>
      <c r="FE80" s="10">
        <v>0</v>
      </c>
      <c r="FF80" s="10">
        <v>2</v>
      </c>
      <c r="FG80" s="10">
        <v>1</v>
      </c>
      <c r="FH80" s="10">
        <v>3</v>
      </c>
      <c r="FI80" s="10">
        <v>0</v>
      </c>
      <c r="FJ80" s="10">
        <v>0</v>
      </c>
      <c r="FK80" s="81">
        <v>6</v>
      </c>
      <c r="FL80" s="81">
        <v>5</v>
      </c>
      <c r="FM80" s="81">
        <v>4</v>
      </c>
      <c r="FN80" s="81">
        <v>1</v>
      </c>
      <c r="FO80" s="81">
        <v>3</v>
      </c>
      <c r="FP80" s="12">
        <v>8</v>
      </c>
      <c r="FQ80" s="12">
        <v>0</v>
      </c>
      <c r="FR80" s="12">
        <v>3</v>
      </c>
      <c r="FS80" s="12">
        <v>2</v>
      </c>
      <c r="FT80" s="12">
        <v>0</v>
      </c>
      <c r="FU80" s="12">
        <v>0</v>
      </c>
      <c r="FV80" s="12">
        <v>0</v>
      </c>
      <c r="FW80" s="12">
        <v>0</v>
      </c>
      <c r="FX80" s="12">
        <v>13</v>
      </c>
      <c r="FY80" s="12">
        <v>1</v>
      </c>
      <c r="FZ80" s="12">
        <v>0</v>
      </c>
      <c r="GA80" s="12">
        <v>3</v>
      </c>
      <c r="GB80" s="12">
        <v>2</v>
      </c>
      <c r="GC80" s="12">
        <v>0</v>
      </c>
      <c r="GD80" s="12">
        <v>1</v>
      </c>
      <c r="GE80" s="12">
        <v>1</v>
      </c>
      <c r="GF80" s="12">
        <v>9</v>
      </c>
      <c r="GG80" s="12">
        <v>3</v>
      </c>
      <c r="GH80" s="12">
        <v>9</v>
      </c>
      <c r="GI80" s="12">
        <v>0</v>
      </c>
      <c r="GJ80" s="12">
        <v>0</v>
      </c>
      <c r="GK80" s="12">
        <v>0</v>
      </c>
      <c r="GL80" s="12">
        <v>0</v>
      </c>
      <c r="GM80" s="12">
        <v>0</v>
      </c>
      <c r="GN80" s="12">
        <v>1</v>
      </c>
      <c r="GO80" s="12">
        <v>7</v>
      </c>
      <c r="GP80" s="12">
        <v>9</v>
      </c>
      <c r="GQ80" s="12">
        <v>4</v>
      </c>
      <c r="GR80" s="12">
        <v>1</v>
      </c>
      <c r="GS80" s="12">
        <v>2</v>
      </c>
      <c r="GT80" s="12">
        <v>0</v>
      </c>
      <c r="GU80" s="13">
        <v>73</v>
      </c>
      <c r="GV80" s="13">
        <v>33</v>
      </c>
      <c r="GW80" s="13">
        <v>11</v>
      </c>
      <c r="GX80" s="13">
        <v>1</v>
      </c>
      <c r="GY80" s="10">
        <v>0</v>
      </c>
      <c r="GZ80" s="10">
        <v>0</v>
      </c>
      <c r="HA80" s="10">
        <v>35</v>
      </c>
      <c r="HB80" s="10">
        <v>35</v>
      </c>
      <c r="HC80" s="10">
        <v>5</v>
      </c>
      <c r="HD80" s="10">
        <v>0</v>
      </c>
      <c r="HE80" s="10">
        <v>0</v>
      </c>
      <c r="HF80" s="10">
        <v>0</v>
      </c>
      <c r="HG80" s="10">
        <v>9</v>
      </c>
      <c r="HH80" s="10">
        <v>11</v>
      </c>
      <c r="HI80" s="10">
        <v>6</v>
      </c>
      <c r="HJ80" s="10">
        <v>14</v>
      </c>
      <c r="HK80" s="10">
        <v>5</v>
      </c>
      <c r="HL80" s="10">
        <v>0</v>
      </c>
      <c r="HM80" s="10">
        <v>33</v>
      </c>
      <c r="HN80" s="81">
        <v>0</v>
      </c>
      <c r="HO80" s="81">
        <v>0</v>
      </c>
      <c r="HP80" s="81">
        <v>1</v>
      </c>
      <c r="HQ80" s="81">
        <v>0</v>
      </c>
      <c r="HR80" s="81">
        <v>1</v>
      </c>
      <c r="HS80" s="12">
        <v>0</v>
      </c>
      <c r="HT80" s="12">
        <v>1</v>
      </c>
      <c r="HU80" s="12">
        <v>1</v>
      </c>
      <c r="HV80" s="12">
        <v>1</v>
      </c>
      <c r="HW80" s="12">
        <v>0</v>
      </c>
      <c r="HX80" s="12">
        <v>0</v>
      </c>
      <c r="HY80" s="12">
        <v>0</v>
      </c>
      <c r="HZ80" s="12">
        <v>0</v>
      </c>
      <c r="IA80" s="12">
        <v>0</v>
      </c>
      <c r="IB80" s="12">
        <v>2</v>
      </c>
      <c r="IC80" s="12">
        <v>1</v>
      </c>
      <c r="ID80" s="12">
        <v>1</v>
      </c>
      <c r="IE80" s="12">
        <v>1</v>
      </c>
      <c r="IF80" s="12">
        <v>0</v>
      </c>
      <c r="IG80" s="12">
        <v>2</v>
      </c>
      <c r="IH80" s="12">
        <v>0</v>
      </c>
      <c r="II80" s="12">
        <v>0</v>
      </c>
      <c r="IJ80" s="12">
        <v>0</v>
      </c>
      <c r="IK80" s="12">
        <v>0</v>
      </c>
      <c r="IL80" s="12">
        <v>0</v>
      </c>
      <c r="IM80" s="12">
        <v>0</v>
      </c>
      <c r="IN80" s="12">
        <v>0</v>
      </c>
      <c r="IO80" s="12">
        <v>1</v>
      </c>
      <c r="IP80" s="12">
        <v>0</v>
      </c>
      <c r="IQ80" s="12">
        <v>1</v>
      </c>
      <c r="IR80" s="12">
        <v>0</v>
      </c>
      <c r="IS80" s="12">
        <v>3</v>
      </c>
      <c r="IT80" s="12">
        <v>0</v>
      </c>
      <c r="IU80" s="12">
        <v>13</v>
      </c>
      <c r="IV80" s="12">
        <v>0</v>
      </c>
      <c r="IW80" s="12">
        <v>0</v>
      </c>
      <c r="IX80" s="11">
        <v>24000</v>
      </c>
      <c r="IY80" s="11">
        <v>20000</v>
      </c>
      <c r="IZ80" s="11">
        <v>23000</v>
      </c>
      <c r="JA80" s="85" t="s">
        <v>603</v>
      </c>
      <c r="JB80" s="85">
        <v>0</v>
      </c>
      <c r="JC80" s="85" t="s">
        <v>361</v>
      </c>
      <c r="JD80" s="12">
        <v>29</v>
      </c>
      <c r="JE80" s="12">
        <v>6</v>
      </c>
      <c r="JF80" s="12">
        <v>29</v>
      </c>
      <c r="JG80" s="12">
        <v>5</v>
      </c>
      <c r="JH80" s="12">
        <v>31</v>
      </c>
      <c r="JI80" s="12">
        <v>5</v>
      </c>
      <c r="JJ80" s="13" t="s">
        <v>619</v>
      </c>
      <c r="JK80" s="13" t="s">
        <v>619</v>
      </c>
      <c r="JL80" s="13" t="s">
        <v>296</v>
      </c>
      <c r="JM80" s="89"/>
      <c r="JN80" s="89"/>
      <c r="JO80" s="89" t="s">
        <v>296</v>
      </c>
      <c r="JP80" s="89"/>
      <c r="JQ80" s="89"/>
      <c r="JR80" s="89" t="s">
        <v>296</v>
      </c>
      <c r="JS80" s="89" t="s">
        <v>619</v>
      </c>
      <c r="JT80" s="89" t="s">
        <v>619</v>
      </c>
      <c r="JU80" s="89" t="s">
        <v>296</v>
      </c>
      <c r="JV80" s="89"/>
      <c r="JW80" s="89"/>
      <c r="JX80" s="89" t="s">
        <v>297</v>
      </c>
      <c r="JY80" s="12" t="s">
        <v>34</v>
      </c>
      <c r="JZ80" s="12" t="s">
        <v>34</v>
      </c>
      <c r="KA80" s="12" t="s">
        <v>34</v>
      </c>
      <c r="KB80" s="12" t="s">
        <v>34</v>
      </c>
      <c r="KC80" s="12" t="s">
        <v>34</v>
      </c>
      <c r="KD80" s="12" t="s">
        <v>34</v>
      </c>
      <c r="KE80" s="12" t="s">
        <v>34</v>
      </c>
      <c r="KF80" s="12"/>
      <c r="KG80" s="12" t="s">
        <v>34</v>
      </c>
      <c r="KH80" s="12" t="s">
        <v>34</v>
      </c>
      <c r="KI80" s="12" t="s">
        <v>34</v>
      </c>
      <c r="KJ80" s="12" t="s">
        <v>34</v>
      </c>
      <c r="KK80" s="12" t="s">
        <v>34</v>
      </c>
      <c r="KL80" s="12" t="s">
        <v>34</v>
      </c>
      <c r="KM80" s="12" t="s">
        <v>619</v>
      </c>
      <c r="KN80" s="12" t="s">
        <v>619</v>
      </c>
      <c r="KO80" s="12" t="s">
        <v>619</v>
      </c>
      <c r="KP80" s="12" t="s">
        <v>34</v>
      </c>
      <c r="KQ80" s="12" t="s">
        <v>619</v>
      </c>
      <c r="KR80" s="12" t="s">
        <v>619</v>
      </c>
      <c r="KS80" s="12" t="s">
        <v>619</v>
      </c>
      <c r="KT80" s="12" t="s">
        <v>34</v>
      </c>
      <c r="KU80" s="12" t="s">
        <v>34</v>
      </c>
      <c r="KV80" s="12" t="s">
        <v>34</v>
      </c>
      <c r="KW80" s="12" t="s">
        <v>34</v>
      </c>
      <c r="KX80" s="12" t="s">
        <v>34</v>
      </c>
      <c r="KY80" s="12" t="s">
        <v>34</v>
      </c>
      <c r="KZ80" s="12" t="s">
        <v>34</v>
      </c>
      <c r="LA80" s="12" t="s">
        <v>34</v>
      </c>
      <c r="LB80" s="12" t="s">
        <v>619</v>
      </c>
      <c r="LC80" s="12" t="s">
        <v>34</v>
      </c>
      <c r="LD80" s="12" t="s">
        <v>619</v>
      </c>
      <c r="LE80" s="12" t="s">
        <v>34</v>
      </c>
      <c r="LF80" s="12" t="s">
        <v>34</v>
      </c>
      <c r="LG80" s="12" t="s">
        <v>34</v>
      </c>
      <c r="LH80" s="12" t="s">
        <v>34</v>
      </c>
      <c r="LI80" s="12" t="s">
        <v>619</v>
      </c>
      <c r="LJ80" s="12" t="s">
        <v>619</v>
      </c>
      <c r="LK80" s="12" t="s">
        <v>34</v>
      </c>
      <c r="LL80" s="13" t="s">
        <v>34</v>
      </c>
      <c r="LM80" s="13" t="s">
        <v>34</v>
      </c>
      <c r="LN80" s="13" t="s">
        <v>34</v>
      </c>
      <c r="LO80" s="13" t="s">
        <v>34</v>
      </c>
      <c r="LP80" s="90" t="s">
        <v>34</v>
      </c>
      <c r="LQ80" s="13" t="s">
        <v>34</v>
      </c>
      <c r="LR80" s="13" t="s">
        <v>34</v>
      </c>
      <c r="LS80" s="13"/>
      <c r="LT80" s="13" t="s">
        <v>34</v>
      </c>
      <c r="LU80" s="13" t="s">
        <v>34</v>
      </c>
      <c r="LV80" s="13" t="s">
        <v>34</v>
      </c>
      <c r="LW80" s="13" t="s">
        <v>34</v>
      </c>
      <c r="LX80" s="13" t="s">
        <v>34</v>
      </c>
      <c r="LY80" s="13" t="s">
        <v>34</v>
      </c>
      <c r="LZ80" s="13" t="s">
        <v>619</v>
      </c>
      <c r="MA80" s="13" t="s">
        <v>619</v>
      </c>
      <c r="MB80" s="13" t="s">
        <v>619</v>
      </c>
      <c r="MC80" s="13" t="s">
        <v>34</v>
      </c>
      <c r="MD80" s="13" t="s">
        <v>619</v>
      </c>
      <c r="ME80" s="13" t="s">
        <v>34</v>
      </c>
      <c r="MF80" s="13" t="s">
        <v>619</v>
      </c>
      <c r="MG80" s="13" t="s">
        <v>34</v>
      </c>
      <c r="MH80" s="13" t="s">
        <v>34</v>
      </c>
      <c r="MI80" s="13" t="s">
        <v>34</v>
      </c>
      <c r="MJ80" s="13" t="s">
        <v>34</v>
      </c>
      <c r="MK80" s="13" t="s">
        <v>34</v>
      </c>
      <c r="ML80" s="13" t="s">
        <v>34</v>
      </c>
      <c r="MM80" s="13" t="s">
        <v>34</v>
      </c>
      <c r="MN80" s="13" t="s">
        <v>34</v>
      </c>
      <c r="MO80" s="13" t="s">
        <v>619</v>
      </c>
      <c r="MP80" s="13" t="s">
        <v>34</v>
      </c>
      <c r="MQ80" s="13" t="s">
        <v>619</v>
      </c>
      <c r="MR80" s="13" t="s">
        <v>34</v>
      </c>
      <c r="MS80" s="13" t="s">
        <v>34</v>
      </c>
      <c r="MT80" s="13" t="s">
        <v>34</v>
      </c>
      <c r="MU80" s="13" t="s">
        <v>34</v>
      </c>
      <c r="MV80" s="13" t="s">
        <v>34</v>
      </c>
      <c r="MW80" s="13" t="s">
        <v>619</v>
      </c>
      <c r="MX80" s="13" t="s">
        <v>34</v>
      </c>
      <c r="MY80" s="28" t="s">
        <v>296</v>
      </c>
      <c r="MZ80" s="28" t="s">
        <v>296</v>
      </c>
      <c r="NA80" s="28" t="s">
        <v>296</v>
      </c>
      <c r="NB80" s="28" t="s">
        <v>296</v>
      </c>
      <c r="NC80" s="28" t="s">
        <v>296</v>
      </c>
      <c r="ND80" s="28" t="s">
        <v>296</v>
      </c>
      <c r="NE80" s="28" t="s">
        <v>296</v>
      </c>
      <c r="NF80" s="28" t="s">
        <v>297</v>
      </c>
      <c r="NG80" s="28" t="s">
        <v>297</v>
      </c>
      <c r="NH80" s="28" t="s">
        <v>297</v>
      </c>
      <c r="NI80" s="177" t="s">
        <v>296</v>
      </c>
      <c r="NJ80" s="177" t="s">
        <v>297</v>
      </c>
      <c r="NK80" s="177" t="s">
        <v>296</v>
      </c>
      <c r="NL80" s="177" t="s">
        <v>297</v>
      </c>
      <c r="NM80" s="177" t="s">
        <v>296</v>
      </c>
      <c r="NN80" s="177" t="s">
        <v>296</v>
      </c>
      <c r="NO80" s="177" t="s">
        <v>296</v>
      </c>
      <c r="NP80" s="177" t="s">
        <v>296</v>
      </c>
      <c r="NQ80" s="177" t="s">
        <v>296</v>
      </c>
      <c r="NR80" s="12" t="s">
        <v>34</v>
      </c>
      <c r="NS80" s="13" t="s">
        <v>34</v>
      </c>
    </row>
    <row r="81" spans="1:383" x14ac:dyDescent="0.25">
      <c r="A81" s="8" t="s">
        <v>203</v>
      </c>
      <c r="B81" s="9" t="s">
        <v>320</v>
      </c>
      <c r="C81" s="9">
        <v>75</v>
      </c>
      <c r="D81" s="9" t="s">
        <v>70</v>
      </c>
      <c r="E81" s="10">
        <v>170</v>
      </c>
      <c r="F81" s="10">
        <v>174</v>
      </c>
      <c r="G81" s="10">
        <v>178</v>
      </c>
      <c r="H81" s="10">
        <v>170</v>
      </c>
      <c r="I81" s="10">
        <v>162</v>
      </c>
      <c r="J81" s="11">
        <v>782</v>
      </c>
      <c r="K81" s="11">
        <v>723</v>
      </c>
      <c r="L81" s="11">
        <v>701</v>
      </c>
      <c r="M81" s="11">
        <v>746</v>
      </c>
      <c r="N81" s="11">
        <v>626</v>
      </c>
      <c r="O81" s="13">
        <v>9334</v>
      </c>
      <c r="P81" s="13">
        <v>8819</v>
      </c>
      <c r="Q81" s="13">
        <v>9103</v>
      </c>
      <c r="R81" s="13">
        <v>7848</v>
      </c>
      <c r="S81" s="13">
        <v>6741</v>
      </c>
      <c r="T81" s="12">
        <v>4332</v>
      </c>
      <c r="U81" s="12">
        <v>3873</v>
      </c>
      <c r="V81" s="12">
        <v>3454</v>
      </c>
      <c r="W81" s="12">
        <v>2830</v>
      </c>
      <c r="X81" s="12">
        <v>1998</v>
      </c>
      <c r="Y81" s="12">
        <v>4.9000000000000004</v>
      </c>
      <c r="Z81" s="12">
        <v>4.9000000000000004</v>
      </c>
      <c r="AA81" s="12">
        <v>4.9000000000000004</v>
      </c>
      <c r="AB81" s="13">
        <v>4.9000000000000004</v>
      </c>
      <c r="AC81" s="13">
        <v>4.9000000000000004</v>
      </c>
      <c r="AD81" s="13">
        <v>4.9000000000000004</v>
      </c>
      <c r="AE81" s="35" t="s">
        <v>259</v>
      </c>
      <c r="AF81" s="35" t="s">
        <v>259</v>
      </c>
      <c r="AG81" s="35" t="s">
        <v>259</v>
      </c>
      <c r="AH81" s="38">
        <v>1</v>
      </c>
      <c r="AI81" s="38">
        <v>1</v>
      </c>
      <c r="AJ81" s="38">
        <v>1</v>
      </c>
      <c r="AK81" s="45" t="s">
        <v>34</v>
      </c>
      <c r="AL81" s="45" t="s">
        <v>34</v>
      </c>
      <c r="AM81" s="45" t="s">
        <v>34</v>
      </c>
      <c r="AN81" s="45" t="s">
        <v>293</v>
      </c>
      <c r="AO81" s="45" t="s">
        <v>34</v>
      </c>
      <c r="AP81" s="45" t="s">
        <v>34</v>
      </c>
      <c r="AQ81" s="53" t="s">
        <v>296</v>
      </c>
      <c r="AR81" s="56">
        <v>402</v>
      </c>
      <c r="AS81" s="57">
        <v>116</v>
      </c>
      <c r="AT81" s="56">
        <v>134</v>
      </c>
      <c r="AU81" s="57">
        <v>31223</v>
      </c>
      <c r="AV81" s="57">
        <v>12331</v>
      </c>
      <c r="AW81" s="57">
        <v>10243</v>
      </c>
      <c r="AX81" s="57">
        <v>33</v>
      </c>
      <c r="AY81" s="57">
        <v>23</v>
      </c>
      <c r="AZ81" s="57">
        <v>17</v>
      </c>
      <c r="BA81" s="57">
        <v>3902</v>
      </c>
      <c r="BB81" s="57">
        <v>3592</v>
      </c>
      <c r="BC81" s="57">
        <v>2425</v>
      </c>
      <c r="BD81" s="57">
        <v>0</v>
      </c>
      <c r="BE81" s="57">
        <v>133</v>
      </c>
      <c r="BF81" s="57">
        <v>49</v>
      </c>
      <c r="BG81" s="57">
        <v>338</v>
      </c>
      <c r="BH81" s="57">
        <v>468</v>
      </c>
      <c r="BI81" s="57">
        <v>117</v>
      </c>
      <c r="BJ81" s="57" t="s">
        <v>296</v>
      </c>
      <c r="BK81" s="57">
        <v>44</v>
      </c>
      <c r="BL81" s="57">
        <v>0</v>
      </c>
      <c r="BM81" s="57">
        <v>0</v>
      </c>
      <c r="BN81" s="57">
        <v>1500</v>
      </c>
      <c r="BO81" s="57">
        <v>1300</v>
      </c>
      <c r="BP81" s="57">
        <v>1250</v>
      </c>
      <c r="BQ81" s="76">
        <v>297</v>
      </c>
      <c r="BR81" s="76">
        <v>296</v>
      </c>
      <c r="BS81">
        <v>292</v>
      </c>
      <c r="BT81">
        <v>292</v>
      </c>
      <c r="BU81">
        <v>289</v>
      </c>
      <c r="BV81">
        <v>29077</v>
      </c>
      <c r="BW81">
        <v>28570</v>
      </c>
      <c r="BX81">
        <v>28088</v>
      </c>
      <c r="BY81">
        <v>27408</v>
      </c>
      <c r="BZ81">
        <v>26705</v>
      </c>
      <c r="CA81">
        <v>197</v>
      </c>
      <c r="CB81">
        <v>185</v>
      </c>
      <c r="CC81">
        <v>210</v>
      </c>
      <c r="CD81">
        <v>201</v>
      </c>
      <c r="CE81">
        <v>183</v>
      </c>
      <c r="CF81">
        <v>13666</v>
      </c>
      <c r="CG81">
        <v>12692</v>
      </c>
      <c r="CH81">
        <v>12557</v>
      </c>
      <c r="CI81">
        <v>10678</v>
      </c>
      <c r="CJ81">
        <v>8739</v>
      </c>
      <c r="CK81" s="10">
        <v>46.1</v>
      </c>
      <c r="CL81" s="10">
        <v>46.1</v>
      </c>
      <c r="CM81" s="10">
        <v>46.5</v>
      </c>
      <c r="CN81" s="11">
        <v>23</v>
      </c>
      <c r="CO81" s="11">
        <v>23</v>
      </c>
      <c r="CP81" s="11">
        <v>23</v>
      </c>
      <c r="CQ81" s="13">
        <v>52</v>
      </c>
      <c r="CR81" s="13">
        <v>13</v>
      </c>
      <c r="CS81" s="13">
        <v>4</v>
      </c>
      <c r="CT81" s="10">
        <v>0</v>
      </c>
      <c r="CU81" s="10">
        <v>5</v>
      </c>
      <c r="CV81" s="10">
        <v>56</v>
      </c>
      <c r="CW81" s="10">
        <v>28</v>
      </c>
      <c r="CX81" s="10">
        <v>9</v>
      </c>
      <c r="CY81" s="10">
        <v>0</v>
      </c>
      <c r="CZ81" s="10">
        <v>0</v>
      </c>
      <c r="DA81" s="10">
        <v>0</v>
      </c>
      <c r="DB81" s="10">
        <v>0</v>
      </c>
      <c r="DC81" s="10">
        <v>0</v>
      </c>
      <c r="DD81" s="10">
        <v>3</v>
      </c>
      <c r="DE81" s="10">
        <v>0</v>
      </c>
      <c r="DF81" s="10">
        <v>29</v>
      </c>
      <c r="DG81" s="10">
        <v>0</v>
      </c>
      <c r="DH81" s="10">
        <v>30</v>
      </c>
      <c r="DI81" s="81">
        <v>5</v>
      </c>
      <c r="DJ81" s="81">
        <v>2</v>
      </c>
      <c r="DK81" s="81">
        <v>10</v>
      </c>
      <c r="DL81" s="81">
        <v>0</v>
      </c>
      <c r="DM81" s="81">
        <v>26</v>
      </c>
      <c r="DN81" s="12">
        <v>6</v>
      </c>
      <c r="DO81" s="12">
        <v>0</v>
      </c>
      <c r="DP81" s="12">
        <v>20</v>
      </c>
      <c r="DQ81" s="12">
        <v>22</v>
      </c>
      <c r="DR81" s="12">
        <v>0</v>
      </c>
      <c r="DS81" s="12">
        <v>0</v>
      </c>
      <c r="DT81" s="12">
        <v>0</v>
      </c>
      <c r="DU81" s="12">
        <v>0</v>
      </c>
      <c r="DV81" s="12">
        <v>17</v>
      </c>
      <c r="DW81" s="12">
        <v>7</v>
      </c>
      <c r="DX81" s="12">
        <v>38</v>
      </c>
      <c r="DY81" s="12">
        <v>9</v>
      </c>
      <c r="DZ81" s="12">
        <v>9</v>
      </c>
      <c r="EA81" s="12">
        <v>0</v>
      </c>
      <c r="EB81" s="12">
        <v>70</v>
      </c>
      <c r="EC81" s="12">
        <v>0</v>
      </c>
      <c r="ED81" s="12">
        <v>30</v>
      </c>
      <c r="EE81" s="12">
        <v>4</v>
      </c>
      <c r="EF81" s="12">
        <v>19</v>
      </c>
      <c r="EG81" s="12">
        <v>0</v>
      </c>
      <c r="EH81" s="12">
        <v>0</v>
      </c>
      <c r="EI81" s="12">
        <v>0</v>
      </c>
      <c r="EJ81" s="12">
        <v>30</v>
      </c>
      <c r="EK81" s="12">
        <v>0</v>
      </c>
      <c r="EL81" s="12">
        <v>3</v>
      </c>
      <c r="EM81" s="12">
        <v>11</v>
      </c>
      <c r="EN81" s="12">
        <v>24</v>
      </c>
      <c r="EO81" s="12">
        <v>22</v>
      </c>
      <c r="EP81" s="12">
        <v>28</v>
      </c>
      <c r="EQ81" s="12">
        <v>26</v>
      </c>
      <c r="ER81" s="12">
        <v>3</v>
      </c>
      <c r="ES81" s="13">
        <v>34</v>
      </c>
      <c r="ET81" s="13">
        <v>3</v>
      </c>
      <c r="EU81" s="13">
        <v>0</v>
      </c>
      <c r="EV81" s="10">
        <v>0</v>
      </c>
      <c r="EW81" s="10">
        <v>1</v>
      </c>
      <c r="EX81" s="10">
        <v>20</v>
      </c>
      <c r="EY81" s="10">
        <v>0</v>
      </c>
      <c r="EZ81" s="10">
        <v>0</v>
      </c>
      <c r="FA81" s="10">
        <v>0</v>
      </c>
      <c r="FB81" s="10">
        <v>0</v>
      </c>
      <c r="FC81" s="10">
        <v>0</v>
      </c>
      <c r="FD81" s="10">
        <v>0</v>
      </c>
      <c r="FE81" s="10">
        <v>0</v>
      </c>
      <c r="FF81" s="10">
        <v>0</v>
      </c>
      <c r="FG81" s="10">
        <v>0</v>
      </c>
      <c r="FH81" s="10">
        <v>1</v>
      </c>
      <c r="FI81" s="10">
        <v>0</v>
      </c>
      <c r="FJ81" s="10">
        <v>2</v>
      </c>
      <c r="FK81" s="81">
        <v>0</v>
      </c>
      <c r="FL81" s="81">
        <v>0</v>
      </c>
      <c r="FM81" s="81">
        <v>2</v>
      </c>
      <c r="FN81" s="81">
        <v>0</v>
      </c>
      <c r="FO81" s="81">
        <v>7</v>
      </c>
      <c r="FP81" s="12">
        <v>0</v>
      </c>
      <c r="FQ81" s="12">
        <v>0</v>
      </c>
      <c r="FR81" s="12">
        <v>7</v>
      </c>
      <c r="FS81" s="12">
        <v>1</v>
      </c>
      <c r="FT81" s="12">
        <v>0</v>
      </c>
      <c r="FU81" s="12">
        <v>0</v>
      </c>
      <c r="FV81" s="12">
        <v>0</v>
      </c>
      <c r="FW81" s="12">
        <v>0</v>
      </c>
      <c r="FX81" s="12">
        <v>6</v>
      </c>
      <c r="FY81" s="12">
        <v>0</v>
      </c>
      <c r="FZ81" s="12">
        <v>8</v>
      </c>
      <c r="GA81" s="12">
        <v>7</v>
      </c>
      <c r="GB81" s="12">
        <v>0</v>
      </c>
      <c r="GC81" s="12">
        <v>0</v>
      </c>
      <c r="GD81" s="12">
        <v>17</v>
      </c>
      <c r="GE81" s="12">
        <v>0</v>
      </c>
      <c r="GF81" s="12">
        <v>1</v>
      </c>
      <c r="GG81" s="12">
        <v>10</v>
      </c>
      <c r="GH81" s="12">
        <v>7</v>
      </c>
      <c r="GI81" s="12">
        <v>0</v>
      </c>
      <c r="GJ81" s="12">
        <v>0</v>
      </c>
      <c r="GK81" s="12">
        <v>0</v>
      </c>
      <c r="GL81" s="12">
        <v>0</v>
      </c>
      <c r="GM81" s="12">
        <v>0</v>
      </c>
      <c r="GN81" s="12">
        <v>1</v>
      </c>
      <c r="GO81" s="12">
        <v>3</v>
      </c>
      <c r="GP81" s="12">
        <v>2</v>
      </c>
      <c r="GQ81" s="12">
        <v>6</v>
      </c>
      <c r="GR81" s="12">
        <v>3</v>
      </c>
      <c r="GS81" s="12">
        <v>2</v>
      </c>
      <c r="GT81" s="12">
        <v>1</v>
      </c>
      <c r="GU81" s="13">
        <v>116</v>
      </c>
      <c r="GV81" s="13">
        <v>30</v>
      </c>
      <c r="GW81" s="13">
        <v>16</v>
      </c>
      <c r="GX81" s="13">
        <v>0</v>
      </c>
      <c r="GY81" s="10">
        <v>0</v>
      </c>
      <c r="GZ81" s="10">
        <v>0</v>
      </c>
      <c r="HA81" s="10">
        <v>13</v>
      </c>
      <c r="HB81" s="10">
        <v>4</v>
      </c>
      <c r="HC81" s="10">
        <v>0</v>
      </c>
      <c r="HD81" s="10">
        <v>0</v>
      </c>
      <c r="HE81" s="10">
        <v>0</v>
      </c>
      <c r="HF81" s="10">
        <v>0</v>
      </c>
      <c r="HG81" s="10">
        <v>0</v>
      </c>
      <c r="HH81" s="10">
        <v>0</v>
      </c>
      <c r="HI81" s="10">
        <v>2</v>
      </c>
      <c r="HJ81" s="10">
        <v>0</v>
      </c>
      <c r="HK81" s="10">
        <v>19</v>
      </c>
      <c r="HL81" s="10">
        <v>0</v>
      </c>
      <c r="HM81" s="10">
        <v>24</v>
      </c>
      <c r="HN81" s="81">
        <v>0</v>
      </c>
      <c r="HO81" s="81">
        <v>0</v>
      </c>
      <c r="HP81" s="81">
        <v>2</v>
      </c>
      <c r="HQ81" s="81">
        <v>0</v>
      </c>
      <c r="HR81" s="81">
        <v>2</v>
      </c>
      <c r="HS81" s="12">
        <v>3</v>
      </c>
      <c r="HT81" s="12">
        <v>0</v>
      </c>
      <c r="HU81" s="12">
        <v>5</v>
      </c>
      <c r="HV81" s="12">
        <v>1</v>
      </c>
      <c r="HW81" s="12">
        <v>2</v>
      </c>
      <c r="HX81" s="12">
        <v>0</v>
      </c>
      <c r="HY81" s="12">
        <v>0</v>
      </c>
      <c r="HZ81" s="12">
        <v>0</v>
      </c>
      <c r="IA81" s="12">
        <v>8</v>
      </c>
      <c r="IB81" s="12">
        <v>3</v>
      </c>
      <c r="IC81" s="12">
        <v>24</v>
      </c>
      <c r="ID81" s="12">
        <v>6</v>
      </c>
      <c r="IE81" s="12">
        <v>0</v>
      </c>
      <c r="IF81" s="12">
        <v>0</v>
      </c>
      <c r="IG81" s="12">
        <v>17</v>
      </c>
      <c r="IH81" s="12">
        <v>0</v>
      </c>
      <c r="II81" s="12">
        <v>1</v>
      </c>
      <c r="IJ81" s="12">
        <v>0</v>
      </c>
      <c r="IK81" s="12">
        <v>4</v>
      </c>
      <c r="IL81" s="12">
        <v>0</v>
      </c>
      <c r="IM81" s="12">
        <v>0</v>
      </c>
      <c r="IN81" s="12">
        <v>0</v>
      </c>
      <c r="IO81" s="12">
        <v>3</v>
      </c>
      <c r="IP81" s="12">
        <v>0</v>
      </c>
      <c r="IQ81" s="12">
        <v>2</v>
      </c>
      <c r="IR81" s="12">
        <v>6</v>
      </c>
      <c r="IS81" s="12">
        <v>5</v>
      </c>
      <c r="IT81" s="12">
        <v>1</v>
      </c>
      <c r="IU81" s="12">
        <v>22</v>
      </c>
      <c r="IV81" s="12">
        <v>0</v>
      </c>
      <c r="IW81" s="12">
        <v>0</v>
      </c>
      <c r="IX81" s="11">
        <v>8000</v>
      </c>
      <c r="IY81" s="11">
        <v>8000</v>
      </c>
      <c r="IZ81" s="11">
        <v>8000</v>
      </c>
      <c r="JA81" s="85" t="s">
        <v>604</v>
      </c>
      <c r="JB81" s="85" t="s">
        <v>602</v>
      </c>
      <c r="JC81" s="85">
        <v>0</v>
      </c>
      <c r="JD81" s="12">
        <v>7</v>
      </c>
      <c r="JE81" s="12">
        <v>7</v>
      </c>
      <c r="JF81" s="12">
        <v>7</v>
      </c>
      <c r="JG81" s="12">
        <v>7</v>
      </c>
      <c r="JH81" s="12">
        <v>7</v>
      </c>
      <c r="JI81" s="12">
        <v>7</v>
      </c>
      <c r="JJ81" s="13" t="s">
        <v>619</v>
      </c>
      <c r="JK81" s="13" t="s">
        <v>619</v>
      </c>
      <c r="JL81" s="13" t="s">
        <v>296</v>
      </c>
      <c r="JM81" s="89"/>
      <c r="JN81" s="89"/>
      <c r="JO81" s="89" t="s">
        <v>296</v>
      </c>
      <c r="JP81" s="89"/>
      <c r="JQ81" s="89"/>
      <c r="JR81" s="89" t="s">
        <v>296</v>
      </c>
      <c r="JS81" s="89" t="s">
        <v>619</v>
      </c>
      <c r="JT81" s="89" t="s">
        <v>619</v>
      </c>
      <c r="JU81" s="89" t="s">
        <v>296</v>
      </c>
      <c r="JV81" s="89"/>
      <c r="JW81" s="89"/>
      <c r="JX81" s="89" t="s">
        <v>297</v>
      </c>
      <c r="JY81" s="12" t="s">
        <v>34</v>
      </c>
      <c r="JZ81" s="12" t="s">
        <v>34</v>
      </c>
      <c r="KA81" s="12" t="s">
        <v>34</v>
      </c>
      <c r="KB81" s="12" t="s">
        <v>34</v>
      </c>
      <c r="KC81" s="12" t="s">
        <v>619</v>
      </c>
      <c r="KD81" s="12" t="s">
        <v>34</v>
      </c>
      <c r="KE81" s="12" t="s">
        <v>34</v>
      </c>
      <c r="KF81" s="12"/>
      <c r="KG81" s="12" t="s">
        <v>34</v>
      </c>
      <c r="KH81" s="12" t="s">
        <v>619</v>
      </c>
      <c r="KI81" s="12" t="s">
        <v>34</v>
      </c>
      <c r="KJ81" s="12" t="s">
        <v>619</v>
      </c>
      <c r="KK81" s="12" t="s">
        <v>34</v>
      </c>
      <c r="KL81" s="12" t="s">
        <v>34</v>
      </c>
      <c r="KM81" s="12" t="s">
        <v>619</v>
      </c>
      <c r="KN81" s="12" t="s">
        <v>619</v>
      </c>
      <c r="KO81" s="12" t="s">
        <v>619</v>
      </c>
      <c r="KP81" s="12" t="s">
        <v>34</v>
      </c>
      <c r="KQ81" s="12" t="s">
        <v>619</v>
      </c>
      <c r="KR81" s="12" t="s">
        <v>619</v>
      </c>
      <c r="KS81" s="12" t="s">
        <v>34</v>
      </c>
      <c r="KT81" s="12" t="s">
        <v>34</v>
      </c>
      <c r="KU81" s="12" t="s">
        <v>34</v>
      </c>
      <c r="KV81" s="12" t="s">
        <v>34</v>
      </c>
      <c r="KW81" s="12" t="s">
        <v>34</v>
      </c>
      <c r="KX81" s="12" t="s">
        <v>34</v>
      </c>
      <c r="KY81" s="12" t="s">
        <v>34</v>
      </c>
      <c r="KZ81" s="12" t="s">
        <v>34</v>
      </c>
      <c r="LA81" s="12" t="s">
        <v>34</v>
      </c>
      <c r="LB81" s="12" t="s">
        <v>34</v>
      </c>
      <c r="LC81" s="12" t="s">
        <v>34</v>
      </c>
      <c r="LD81" s="12" t="s">
        <v>619</v>
      </c>
      <c r="LE81" s="12" t="s">
        <v>619</v>
      </c>
      <c r="LF81" s="12" t="s">
        <v>34</v>
      </c>
      <c r="LG81" s="12" t="s">
        <v>34</v>
      </c>
      <c r="LH81" s="12" t="s">
        <v>34</v>
      </c>
      <c r="LI81" s="12" t="s">
        <v>34</v>
      </c>
      <c r="LJ81" s="12" t="s">
        <v>619</v>
      </c>
      <c r="LK81" s="12" t="s">
        <v>619</v>
      </c>
      <c r="LL81" s="13" t="s">
        <v>34</v>
      </c>
      <c r="LM81" s="13" t="s">
        <v>34</v>
      </c>
      <c r="LN81" s="13" t="s">
        <v>34</v>
      </c>
      <c r="LO81" s="13" t="s">
        <v>34</v>
      </c>
      <c r="LP81" s="90" t="s">
        <v>619</v>
      </c>
      <c r="LQ81" s="13" t="s">
        <v>34</v>
      </c>
      <c r="LR81" s="13" t="s">
        <v>34</v>
      </c>
      <c r="LS81" s="13"/>
      <c r="LT81" s="13" t="s">
        <v>34</v>
      </c>
      <c r="LU81" s="13" t="s">
        <v>34</v>
      </c>
      <c r="LV81" s="13" t="s">
        <v>34</v>
      </c>
      <c r="LW81" s="13" t="s">
        <v>34</v>
      </c>
      <c r="LX81" s="13" t="s">
        <v>34</v>
      </c>
      <c r="LY81" s="13" t="s">
        <v>34</v>
      </c>
      <c r="LZ81" s="13" t="s">
        <v>34</v>
      </c>
      <c r="MA81" s="13" t="s">
        <v>619</v>
      </c>
      <c r="MB81" s="13" t="s">
        <v>619</v>
      </c>
      <c r="MC81" s="13" t="s">
        <v>34</v>
      </c>
      <c r="MD81" s="13" t="s">
        <v>619</v>
      </c>
      <c r="ME81" s="13" t="s">
        <v>619</v>
      </c>
      <c r="MF81" s="13" t="s">
        <v>34</v>
      </c>
      <c r="MG81" s="13" t="s">
        <v>34</v>
      </c>
      <c r="MH81" s="13" t="s">
        <v>34</v>
      </c>
      <c r="MI81" s="13" t="s">
        <v>34</v>
      </c>
      <c r="MJ81" s="13" t="s">
        <v>34</v>
      </c>
      <c r="MK81" s="13" t="s">
        <v>34</v>
      </c>
      <c r="ML81" s="13" t="s">
        <v>34</v>
      </c>
      <c r="MM81" s="13" t="s">
        <v>34</v>
      </c>
      <c r="MN81" s="13" t="s">
        <v>34</v>
      </c>
      <c r="MO81" s="13" t="s">
        <v>619</v>
      </c>
      <c r="MP81" s="13" t="s">
        <v>619</v>
      </c>
      <c r="MQ81" s="13" t="s">
        <v>619</v>
      </c>
      <c r="MR81" s="13" t="s">
        <v>619</v>
      </c>
      <c r="MS81" s="13" t="s">
        <v>34</v>
      </c>
      <c r="MT81" s="13" t="s">
        <v>34</v>
      </c>
      <c r="MU81" s="13" t="s">
        <v>34</v>
      </c>
      <c r="MV81" s="13" t="s">
        <v>619</v>
      </c>
      <c r="MW81" s="13" t="s">
        <v>34</v>
      </c>
      <c r="MX81" s="13" t="s">
        <v>619</v>
      </c>
      <c r="MY81" s="28" t="s">
        <v>296</v>
      </c>
      <c r="MZ81" s="28" t="s">
        <v>296</v>
      </c>
      <c r="NA81" s="28" t="s">
        <v>296</v>
      </c>
      <c r="NB81" s="28" t="s">
        <v>296</v>
      </c>
      <c r="NC81" s="28" t="s">
        <v>296</v>
      </c>
      <c r="ND81" s="28" t="s">
        <v>297</v>
      </c>
      <c r="NE81" s="28" t="s">
        <v>296</v>
      </c>
      <c r="NF81" s="28" t="s">
        <v>296</v>
      </c>
      <c r="NG81" s="28" t="s">
        <v>297</v>
      </c>
      <c r="NH81" s="28" t="s">
        <v>297</v>
      </c>
      <c r="NI81" s="177" t="s">
        <v>296</v>
      </c>
      <c r="NJ81" s="177" t="s">
        <v>297</v>
      </c>
      <c r="NK81" s="177" t="s">
        <v>296</v>
      </c>
      <c r="NL81" s="177" t="s">
        <v>296</v>
      </c>
      <c r="NM81" s="177" t="s">
        <v>296</v>
      </c>
      <c r="NN81" s="177" t="s">
        <v>296</v>
      </c>
      <c r="NO81" s="177" t="s">
        <v>296</v>
      </c>
      <c r="NP81" s="177" t="s">
        <v>297</v>
      </c>
      <c r="NQ81" s="177" t="s">
        <v>296</v>
      </c>
      <c r="NR81" s="12" t="s">
        <v>34</v>
      </c>
      <c r="NS81" s="13" t="s">
        <v>34</v>
      </c>
    </row>
    <row r="82" spans="1:383" x14ac:dyDescent="0.25">
      <c r="A82" s="8" t="s">
        <v>204</v>
      </c>
      <c r="B82" s="9" t="s">
        <v>205</v>
      </c>
      <c r="C82" s="9">
        <v>32</v>
      </c>
      <c r="D82" s="9" t="s">
        <v>37</v>
      </c>
      <c r="E82" s="10">
        <v>209</v>
      </c>
      <c r="F82" s="10">
        <v>214</v>
      </c>
      <c r="G82" s="10">
        <v>223</v>
      </c>
      <c r="H82" s="10">
        <v>197</v>
      </c>
      <c r="I82" s="10">
        <v>152</v>
      </c>
      <c r="J82" s="11">
        <v>976</v>
      </c>
      <c r="K82" s="14">
        <v>1018</v>
      </c>
      <c r="L82" s="14">
        <v>999</v>
      </c>
      <c r="M82" s="14">
        <v>929</v>
      </c>
      <c r="N82" s="14">
        <v>758</v>
      </c>
      <c r="O82" s="13">
        <v>9533</v>
      </c>
      <c r="P82" s="13">
        <v>10127</v>
      </c>
      <c r="Q82" s="13">
        <v>10530</v>
      </c>
      <c r="R82" s="13">
        <v>9448</v>
      </c>
      <c r="S82" s="13">
        <v>7417</v>
      </c>
      <c r="T82" s="12">
        <v>4790</v>
      </c>
      <c r="U82" s="12">
        <v>5105</v>
      </c>
      <c r="V82" s="12">
        <v>5299</v>
      </c>
      <c r="W82" s="12">
        <v>4373</v>
      </c>
      <c r="X82" s="12">
        <v>3563</v>
      </c>
      <c r="Y82" s="12">
        <v>4.09</v>
      </c>
      <c r="Z82" s="12">
        <v>4.1100000000000003</v>
      </c>
      <c r="AA82" s="12">
        <v>4.1100000000000003</v>
      </c>
      <c r="AB82" s="13">
        <v>3.75</v>
      </c>
      <c r="AC82" s="13">
        <v>3.77</v>
      </c>
      <c r="AD82" s="13">
        <v>3.77</v>
      </c>
      <c r="AE82" s="35" t="s">
        <v>259</v>
      </c>
      <c r="AF82" s="35" t="s">
        <v>259</v>
      </c>
      <c r="AG82" s="35" t="s">
        <v>259</v>
      </c>
      <c r="AH82" s="38">
        <v>1</v>
      </c>
      <c r="AI82" s="38">
        <v>1</v>
      </c>
      <c r="AJ82" s="38">
        <v>1</v>
      </c>
      <c r="AK82" s="45" t="s">
        <v>288</v>
      </c>
      <c r="AL82" s="45" t="s">
        <v>34</v>
      </c>
      <c r="AM82" s="45" t="s">
        <v>290</v>
      </c>
      <c r="AN82" s="45" t="s">
        <v>34</v>
      </c>
      <c r="AO82" s="45" t="s">
        <v>34</v>
      </c>
      <c r="AP82" s="45" t="s">
        <v>34</v>
      </c>
      <c r="AQ82" s="53" t="s">
        <v>297</v>
      </c>
      <c r="AR82" s="56">
        <v>468</v>
      </c>
      <c r="AS82" s="57">
        <v>75</v>
      </c>
      <c r="AT82" s="56">
        <v>189</v>
      </c>
      <c r="AU82" s="57">
        <v>42891</v>
      </c>
      <c r="AV82" s="57">
        <v>8369</v>
      </c>
      <c r="AW82" s="57">
        <v>5565</v>
      </c>
      <c r="AX82" s="57">
        <v>52</v>
      </c>
      <c r="AY82" s="57">
        <v>57</v>
      </c>
      <c r="AZ82" s="57">
        <v>64</v>
      </c>
      <c r="BA82" s="57">
        <v>9456</v>
      </c>
      <c r="BB82" s="57">
        <v>11348</v>
      </c>
      <c r="BC82" s="57">
        <v>14910</v>
      </c>
      <c r="BD82" s="57">
        <v>1797</v>
      </c>
      <c r="BE82" s="57">
        <v>1943</v>
      </c>
      <c r="BF82" s="57">
        <v>3476</v>
      </c>
      <c r="BG82" s="57">
        <v>1140</v>
      </c>
      <c r="BH82" s="57">
        <v>1050</v>
      </c>
      <c r="BI82" s="57">
        <v>987</v>
      </c>
      <c r="BJ82" s="57" t="s">
        <v>297</v>
      </c>
      <c r="BK82" s="57">
        <v>39</v>
      </c>
      <c r="BL82" s="57">
        <v>19</v>
      </c>
      <c r="BM82" s="57">
        <v>2</v>
      </c>
      <c r="BN82" s="57">
        <v>2000</v>
      </c>
      <c r="BO82" s="57">
        <v>1500</v>
      </c>
      <c r="BP82" s="57">
        <v>1000</v>
      </c>
      <c r="BQ82" s="76">
        <v>542</v>
      </c>
      <c r="BR82" s="76">
        <v>538</v>
      </c>
      <c r="BS82">
        <v>498</v>
      </c>
      <c r="BT82">
        <v>498</v>
      </c>
      <c r="BU82">
        <v>492</v>
      </c>
      <c r="BV82">
        <v>48385</v>
      </c>
      <c r="BW82">
        <v>47769</v>
      </c>
      <c r="BX82">
        <v>46864</v>
      </c>
      <c r="BY82">
        <v>45960</v>
      </c>
      <c r="BZ82">
        <v>45042</v>
      </c>
      <c r="CA82">
        <v>209</v>
      </c>
      <c r="CB82">
        <v>211</v>
      </c>
      <c r="CC82">
        <v>216</v>
      </c>
      <c r="CD82">
        <v>186</v>
      </c>
      <c r="CE82">
        <v>152</v>
      </c>
      <c r="CF82">
        <v>14323</v>
      </c>
      <c r="CG82">
        <v>15232</v>
      </c>
      <c r="CH82">
        <v>15829</v>
      </c>
      <c r="CI82">
        <v>13821</v>
      </c>
      <c r="CJ82">
        <v>10980</v>
      </c>
      <c r="CK82" s="10">
        <v>20</v>
      </c>
      <c r="CL82" s="10">
        <v>18.03</v>
      </c>
      <c r="CM82" s="10">
        <v>18.03</v>
      </c>
      <c r="CN82" s="14">
        <v>17.350000000000001</v>
      </c>
      <c r="CO82" s="14">
        <v>17.350000000000001</v>
      </c>
      <c r="CP82" s="14">
        <v>17.350000000000001</v>
      </c>
      <c r="CQ82" s="13">
        <v>104</v>
      </c>
      <c r="CR82" s="13">
        <v>15</v>
      </c>
      <c r="CS82" s="13">
        <v>1</v>
      </c>
      <c r="CT82" s="10">
        <v>0</v>
      </c>
      <c r="CU82" s="10">
        <v>5</v>
      </c>
      <c r="CV82" s="10">
        <v>31</v>
      </c>
      <c r="CW82" s="10">
        <v>12</v>
      </c>
      <c r="CX82" s="10">
        <v>13</v>
      </c>
      <c r="CY82" s="10">
        <v>0</v>
      </c>
      <c r="CZ82" s="10">
        <v>0</v>
      </c>
      <c r="DA82" s="10">
        <v>0</v>
      </c>
      <c r="DB82" s="10">
        <v>10</v>
      </c>
      <c r="DC82" s="10">
        <v>0</v>
      </c>
      <c r="DD82" s="10">
        <v>0</v>
      </c>
      <c r="DE82" s="10">
        <v>0</v>
      </c>
      <c r="DF82" s="10">
        <v>0</v>
      </c>
      <c r="DG82" s="10">
        <v>0</v>
      </c>
      <c r="DH82" s="10">
        <v>2</v>
      </c>
      <c r="DI82" s="81">
        <v>1</v>
      </c>
      <c r="DJ82" s="81">
        <v>0</v>
      </c>
      <c r="DK82" s="81">
        <v>5</v>
      </c>
      <c r="DL82" s="81">
        <v>0</v>
      </c>
      <c r="DM82" s="81">
        <v>64</v>
      </c>
      <c r="DN82" s="12">
        <v>4</v>
      </c>
      <c r="DO82" s="12">
        <v>0</v>
      </c>
      <c r="DP82" s="12">
        <v>3</v>
      </c>
      <c r="DQ82" s="12">
        <v>0</v>
      </c>
      <c r="DR82" s="12">
        <v>10</v>
      </c>
      <c r="DS82" s="12">
        <v>0</v>
      </c>
      <c r="DT82" s="12">
        <v>0</v>
      </c>
      <c r="DU82" s="12">
        <v>1</v>
      </c>
      <c r="DV82" s="12">
        <v>20</v>
      </c>
      <c r="DW82" s="12">
        <v>9</v>
      </c>
      <c r="DX82" s="12">
        <v>8</v>
      </c>
      <c r="DY82" s="12">
        <v>10</v>
      </c>
      <c r="DZ82" s="12">
        <v>7</v>
      </c>
      <c r="EA82" s="12">
        <v>0</v>
      </c>
      <c r="EB82" s="12">
        <v>149</v>
      </c>
      <c r="EC82" s="12">
        <v>0</v>
      </c>
      <c r="ED82" s="12">
        <v>15</v>
      </c>
      <c r="EE82" s="12">
        <v>5</v>
      </c>
      <c r="EF82" s="12">
        <v>2</v>
      </c>
      <c r="EG82" s="12">
        <v>0</v>
      </c>
      <c r="EH82" s="12">
        <v>0</v>
      </c>
      <c r="EI82" s="12">
        <v>0</v>
      </c>
      <c r="EJ82" s="12">
        <v>0</v>
      </c>
      <c r="EK82" s="12">
        <v>0</v>
      </c>
      <c r="EL82" s="12">
        <v>13</v>
      </c>
      <c r="EM82" s="12">
        <v>3</v>
      </c>
      <c r="EN82" s="12">
        <v>6</v>
      </c>
      <c r="EO82" s="12">
        <v>1</v>
      </c>
      <c r="EP82" s="12">
        <v>6</v>
      </c>
      <c r="EQ82" s="12">
        <v>2</v>
      </c>
      <c r="ER82" s="12">
        <v>2</v>
      </c>
      <c r="ES82" s="13">
        <v>7</v>
      </c>
      <c r="ET82" s="13">
        <v>5</v>
      </c>
      <c r="EU82" s="13">
        <v>1</v>
      </c>
      <c r="EV82" s="10">
        <v>0</v>
      </c>
      <c r="EW82" s="10">
        <v>0</v>
      </c>
      <c r="EX82" s="10">
        <v>0</v>
      </c>
      <c r="EY82" s="10">
        <v>0</v>
      </c>
      <c r="EZ82" s="10">
        <v>3</v>
      </c>
      <c r="FA82" s="10">
        <v>0</v>
      </c>
      <c r="FB82" s="10">
        <v>0</v>
      </c>
      <c r="FC82" s="10">
        <v>0</v>
      </c>
      <c r="FD82" s="10">
        <v>8</v>
      </c>
      <c r="FE82" s="10">
        <v>0</v>
      </c>
      <c r="FF82" s="10">
        <v>0</v>
      </c>
      <c r="FG82" s="10">
        <v>0</v>
      </c>
      <c r="FH82" s="10">
        <v>0</v>
      </c>
      <c r="FI82" s="10">
        <v>0</v>
      </c>
      <c r="FJ82" s="10">
        <v>0</v>
      </c>
      <c r="FK82" s="81">
        <v>0</v>
      </c>
      <c r="FL82" s="81">
        <v>0</v>
      </c>
      <c r="FM82" s="81">
        <v>1</v>
      </c>
      <c r="FN82" s="81">
        <v>0</v>
      </c>
      <c r="FO82" s="81">
        <v>9</v>
      </c>
      <c r="FP82" s="12">
        <v>3</v>
      </c>
      <c r="FQ82" s="12">
        <v>0</v>
      </c>
      <c r="FR82" s="12">
        <v>4</v>
      </c>
      <c r="FS82" s="12">
        <v>0</v>
      </c>
      <c r="FT82" s="12">
        <v>12</v>
      </c>
      <c r="FU82" s="12">
        <v>0</v>
      </c>
      <c r="FV82" s="12">
        <v>0</v>
      </c>
      <c r="FW82" s="12">
        <v>0</v>
      </c>
      <c r="FX82" s="12">
        <v>7</v>
      </c>
      <c r="FY82" s="12">
        <v>3</v>
      </c>
      <c r="FZ82" s="12">
        <v>0</v>
      </c>
      <c r="GA82" s="12">
        <v>9</v>
      </c>
      <c r="GB82" s="12">
        <v>0</v>
      </c>
      <c r="GC82" s="12">
        <v>0</v>
      </c>
      <c r="GD82" s="12">
        <v>2</v>
      </c>
      <c r="GE82" s="12">
        <v>0</v>
      </c>
      <c r="GF82" s="12">
        <v>3</v>
      </c>
      <c r="GG82" s="12">
        <v>1</v>
      </c>
      <c r="GH82" s="12">
        <v>0</v>
      </c>
      <c r="GI82" s="12">
        <v>0</v>
      </c>
      <c r="GJ82" s="12">
        <v>0</v>
      </c>
      <c r="GK82" s="12">
        <v>0</v>
      </c>
      <c r="GL82" s="12">
        <v>0</v>
      </c>
      <c r="GM82" s="12">
        <v>0</v>
      </c>
      <c r="GN82" s="12">
        <v>0</v>
      </c>
      <c r="GO82" s="12">
        <v>2</v>
      </c>
      <c r="GP82" s="12">
        <v>1</v>
      </c>
      <c r="GQ82" s="12">
        <v>3</v>
      </c>
      <c r="GR82" s="12">
        <v>1</v>
      </c>
      <c r="GS82" s="12">
        <v>0</v>
      </c>
      <c r="GT82" s="12">
        <v>0</v>
      </c>
      <c r="GU82" s="13">
        <v>75</v>
      </c>
      <c r="GV82" s="13">
        <v>24</v>
      </c>
      <c r="GW82" s="13">
        <v>8</v>
      </c>
      <c r="GX82" s="13">
        <v>3</v>
      </c>
      <c r="GY82" s="10">
        <v>2</v>
      </c>
      <c r="GZ82" s="10">
        <v>1</v>
      </c>
      <c r="HA82" s="10">
        <v>2</v>
      </c>
      <c r="HB82" s="10">
        <v>4</v>
      </c>
      <c r="HC82" s="10">
        <v>43</v>
      </c>
      <c r="HD82" s="10">
        <v>0</v>
      </c>
      <c r="HE82" s="10">
        <v>0</v>
      </c>
      <c r="HF82" s="10">
        <v>0</v>
      </c>
      <c r="HG82" s="10">
        <v>0</v>
      </c>
      <c r="HH82" s="10">
        <v>0</v>
      </c>
      <c r="HI82" s="10">
        <v>0</v>
      </c>
      <c r="HJ82" s="10">
        <v>4</v>
      </c>
      <c r="HK82" s="10">
        <v>1</v>
      </c>
      <c r="HL82" s="10">
        <v>2</v>
      </c>
      <c r="HM82" s="10">
        <v>0</v>
      </c>
      <c r="HN82" s="81">
        <v>0</v>
      </c>
      <c r="HO82" s="81">
        <v>20</v>
      </c>
      <c r="HP82" s="81">
        <v>2</v>
      </c>
      <c r="HQ82" s="81">
        <v>0</v>
      </c>
      <c r="HR82" s="81">
        <v>42</v>
      </c>
      <c r="HS82" s="12">
        <v>0</v>
      </c>
      <c r="HT82" s="12">
        <v>0</v>
      </c>
      <c r="HU82" s="12">
        <v>3</v>
      </c>
      <c r="HV82" s="12">
        <v>0</v>
      </c>
      <c r="HW82" s="12">
        <v>5</v>
      </c>
      <c r="HX82" s="12">
        <v>0</v>
      </c>
      <c r="HY82" s="12">
        <v>0</v>
      </c>
      <c r="HZ82" s="12">
        <v>0</v>
      </c>
      <c r="IA82" s="12">
        <v>0</v>
      </c>
      <c r="IB82" s="12">
        <v>1</v>
      </c>
      <c r="IC82" s="12">
        <v>1</v>
      </c>
      <c r="ID82" s="12">
        <v>11</v>
      </c>
      <c r="IE82" s="12">
        <v>4</v>
      </c>
      <c r="IF82" s="12">
        <v>0</v>
      </c>
      <c r="IG82" s="12">
        <v>14</v>
      </c>
      <c r="IH82" s="12">
        <v>0</v>
      </c>
      <c r="II82" s="12">
        <v>0</v>
      </c>
      <c r="IJ82" s="12">
        <v>0</v>
      </c>
      <c r="IK82" s="12">
        <v>0</v>
      </c>
      <c r="IL82" s="12">
        <v>0</v>
      </c>
      <c r="IM82" s="12">
        <v>1</v>
      </c>
      <c r="IN82" s="12">
        <v>0</v>
      </c>
      <c r="IO82" s="12">
        <v>1</v>
      </c>
      <c r="IP82" s="12">
        <v>0</v>
      </c>
      <c r="IQ82" s="12">
        <v>3</v>
      </c>
      <c r="IR82" s="12">
        <v>1</v>
      </c>
      <c r="IS82" s="12">
        <v>0</v>
      </c>
      <c r="IT82" s="12">
        <v>1</v>
      </c>
      <c r="IU82" s="12">
        <v>2</v>
      </c>
      <c r="IV82" s="12">
        <v>0</v>
      </c>
      <c r="IW82" s="12">
        <v>0</v>
      </c>
      <c r="IX82" s="14">
        <v>56000</v>
      </c>
      <c r="IY82" s="14">
        <v>56000</v>
      </c>
      <c r="IZ82" s="14">
        <v>46000</v>
      </c>
      <c r="JA82" s="85">
        <v>1</v>
      </c>
      <c r="JB82" s="85">
        <v>0</v>
      </c>
      <c r="JC82" s="85">
        <v>0</v>
      </c>
      <c r="JD82" s="12">
        <v>11</v>
      </c>
      <c r="JE82" s="12">
        <v>11</v>
      </c>
      <c r="JF82" s="12">
        <v>11</v>
      </c>
      <c r="JG82" s="12">
        <v>11</v>
      </c>
      <c r="JH82" s="12">
        <v>11</v>
      </c>
      <c r="JI82" s="12">
        <v>11</v>
      </c>
      <c r="JJ82" s="13" t="s">
        <v>619</v>
      </c>
      <c r="JK82" s="13" t="s">
        <v>619</v>
      </c>
      <c r="JL82" s="13" t="s">
        <v>296</v>
      </c>
      <c r="JM82" s="89"/>
      <c r="JN82" s="89"/>
      <c r="JO82" s="89" t="s">
        <v>296</v>
      </c>
      <c r="JP82" s="89"/>
      <c r="JQ82" s="89"/>
      <c r="JR82" s="89" t="s">
        <v>296</v>
      </c>
      <c r="JS82" s="89" t="s">
        <v>619</v>
      </c>
      <c r="JT82" s="89" t="s">
        <v>619</v>
      </c>
      <c r="JU82" s="89" t="s">
        <v>296</v>
      </c>
      <c r="JV82" s="89"/>
      <c r="JW82" s="89"/>
      <c r="JX82" s="89" t="s">
        <v>297</v>
      </c>
      <c r="JY82" s="12" t="s">
        <v>619</v>
      </c>
      <c r="JZ82" s="12" t="s">
        <v>619</v>
      </c>
      <c r="KA82" s="12" t="s">
        <v>619</v>
      </c>
      <c r="KB82" s="12" t="s">
        <v>34</v>
      </c>
      <c r="KC82" s="12" t="s">
        <v>619</v>
      </c>
      <c r="KD82" s="12" t="s">
        <v>34</v>
      </c>
      <c r="KE82" s="12" t="s">
        <v>619</v>
      </c>
      <c r="KF82" s="12"/>
      <c r="KG82" s="12" t="s">
        <v>619</v>
      </c>
      <c r="KH82" s="12" t="s">
        <v>34</v>
      </c>
      <c r="KI82" s="12" t="s">
        <v>619</v>
      </c>
      <c r="KJ82" s="12" t="s">
        <v>34</v>
      </c>
      <c r="KK82" s="12" t="s">
        <v>619</v>
      </c>
      <c r="KL82" s="12" t="s">
        <v>34</v>
      </c>
      <c r="KM82" s="12" t="s">
        <v>619</v>
      </c>
      <c r="KN82" s="12" t="s">
        <v>619</v>
      </c>
      <c r="KO82" s="12" t="s">
        <v>619</v>
      </c>
      <c r="KP82" s="12" t="s">
        <v>619</v>
      </c>
      <c r="KQ82" s="12" t="s">
        <v>619</v>
      </c>
      <c r="KR82" s="12" t="s">
        <v>619</v>
      </c>
      <c r="KS82" s="12" t="s">
        <v>619</v>
      </c>
      <c r="KT82" s="12" t="s">
        <v>619</v>
      </c>
      <c r="KU82" s="12" t="s">
        <v>34</v>
      </c>
      <c r="KV82" s="12" t="s">
        <v>34</v>
      </c>
      <c r="KW82" s="12" t="s">
        <v>619</v>
      </c>
      <c r="KX82" s="12" t="s">
        <v>34</v>
      </c>
      <c r="KY82" s="12" t="s">
        <v>34</v>
      </c>
      <c r="KZ82" s="12" t="s">
        <v>619</v>
      </c>
      <c r="LA82" s="12" t="s">
        <v>34</v>
      </c>
      <c r="LB82" s="12" t="s">
        <v>619</v>
      </c>
      <c r="LC82" s="12" t="s">
        <v>34</v>
      </c>
      <c r="LD82" s="12" t="s">
        <v>619</v>
      </c>
      <c r="LE82" s="12" t="s">
        <v>619</v>
      </c>
      <c r="LF82" s="12" t="s">
        <v>34</v>
      </c>
      <c r="LG82" s="12" t="s">
        <v>619</v>
      </c>
      <c r="LH82" s="12" t="s">
        <v>34</v>
      </c>
      <c r="LI82" s="12" t="s">
        <v>619</v>
      </c>
      <c r="LJ82" s="12" t="s">
        <v>619</v>
      </c>
      <c r="LK82" s="12" t="s">
        <v>34</v>
      </c>
      <c r="LL82" s="13" t="s">
        <v>619</v>
      </c>
      <c r="LM82" s="13" t="s">
        <v>34</v>
      </c>
      <c r="LN82" s="13" t="s">
        <v>619</v>
      </c>
      <c r="LO82" s="13" t="s">
        <v>34</v>
      </c>
      <c r="LP82" s="90" t="s">
        <v>619</v>
      </c>
      <c r="LQ82" s="13" t="s">
        <v>619</v>
      </c>
      <c r="LR82" s="13" t="s">
        <v>619</v>
      </c>
      <c r="LS82" s="13"/>
      <c r="LT82" s="13" t="s">
        <v>34</v>
      </c>
      <c r="LU82" s="13" t="s">
        <v>34</v>
      </c>
      <c r="LV82" s="13" t="s">
        <v>34</v>
      </c>
      <c r="LW82" s="13" t="s">
        <v>34</v>
      </c>
      <c r="LX82" s="13" t="s">
        <v>34</v>
      </c>
      <c r="LY82" s="13" t="s">
        <v>34</v>
      </c>
      <c r="LZ82" s="13" t="s">
        <v>619</v>
      </c>
      <c r="MA82" s="13" t="s">
        <v>619</v>
      </c>
      <c r="MB82" s="13" t="s">
        <v>619</v>
      </c>
      <c r="MC82" s="13" t="s">
        <v>619</v>
      </c>
      <c r="MD82" s="13" t="s">
        <v>619</v>
      </c>
      <c r="ME82" s="13" t="s">
        <v>619</v>
      </c>
      <c r="MF82" s="13" t="s">
        <v>619</v>
      </c>
      <c r="MG82" s="13" t="s">
        <v>619</v>
      </c>
      <c r="MH82" s="13" t="s">
        <v>34</v>
      </c>
      <c r="MI82" s="13" t="s">
        <v>34</v>
      </c>
      <c r="MJ82" s="13" t="s">
        <v>34</v>
      </c>
      <c r="MK82" s="13" t="s">
        <v>34</v>
      </c>
      <c r="ML82" s="13" t="s">
        <v>619</v>
      </c>
      <c r="MM82" s="13" t="s">
        <v>34</v>
      </c>
      <c r="MN82" s="13" t="s">
        <v>34</v>
      </c>
      <c r="MO82" s="13" t="s">
        <v>619</v>
      </c>
      <c r="MP82" s="13" t="s">
        <v>34</v>
      </c>
      <c r="MQ82" s="13" t="s">
        <v>619</v>
      </c>
      <c r="MR82" s="13" t="s">
        <v>619</v>
      </c>
      <c r="MS82" s="13" t="s">
        <v>34</v>
      </c>
      <c r="MT82" s="13" t="s">
        <v>34</v>
      </c>
      <c r="MU82" s="13" t="s">
        <v>34</v>
      </c>
      <c r="MV82" s="13" t="s">
        <v>619</v>
      </c>
      <c r="MW82" s="13" t="s">
        <v>34</v>
      </c>
      <c r="MX82" s="13" t="s">
        <v>619</v>
      </c>
      <c r="MY82" s="28" t="s">
        <v>296</v>
      </c>
      <c r="MZ82" s="28" t="s">
        <v>296</v>
      </c>
      <c r="NA82" s="28" t="s">
        <v>296</v>
      </c>
      <c r="NB82" s="28" t="s">
        <v>296</v>
      </c>
      <c r="NC82" s="28" t="s">
        <v>296</v>
      </c>
      <c r="ND82" s="28" t="s">
        <v>297</v>
      </c>
      <c r="NE82" s="28" t="s">
        <v>296</v>
      </c>
      <c r="NF82" s="28" t="s">
        <v>297</v>
      </c>
      <c r="NG82" s="28" t="s">
        <v>297</v>
      </c>
      <c r="NH82" s="28" t="s">
        <v>297</v>
      </c>
      <c r="NI82" s="177" t="s">
        <v>296</v>
      </c>
      <c r="NJ82" s="177" t="s">
        <v>296</v>
      </c>
      <c r="NK82" s="177" t="s">
        <v>297</v>
      </c>
      <c r="NL82" s="177" t="s">
        <v>296</v>
      </c>
      <c r="NM82" s="177" t="s">
        <v>296</v>
      </c>
      <c r="NN82" s="177" t="s">
        <v>296</v>
      </c>
      <c r="NO82" s="177" t="s">
        <v>296</v>
      </c>
      <c r="NP82" s="177" t="s">
        <v>297</v>
      </c>
      <c r="NQ82" s="177" t="s">
        <v>297</v>
      </c>
      <c r="NR82" s="12" t="s">
        <v>619</v>
      </c>
      <c r="NS82" s="13" t="s">
        <v>34</v>
      </c>
    </row>
    <row r="83" spans="1:383" x14ac:dyDescent="0.25">
      <c r="A83" s="8" t="s">
        <v>206</v>
      </c>
      <c r="B83" s="9" t="s">
        <v>207</v>
      </c>
      <c r="C83" s="9">
        <v>76</v>
      </c>
      <c r="D83" s="9" t="s">
        <v>54</v>
      </c>
      <c r="E83" s="10">
        <v>107</v>
      </c>
      <c r="F83" s="10">
        <v>105</v>
      </c>
      <c r="G83" s="10">
        <v>93</v>
      </c>
      <c r="H83" s="10">
        <v>103</v>
      </c>
      <c r="I83" s="10">
        <v>95</v>
      </c>
      <c r="J83" s="11">
        <v>372</v>
      </c>
      <c r="K83" s="11">
        <v>391</v>
      </c>
      <c r="L83" s="11">
        <v>341</v>
      </c>
      <c r="M83" s="11">
        <v>374</v>
      </c>
      <c r="N83" s="11">
        <v>372</v>
      </c>
      <c r="O83" s="13">
        <v>5363</v>
      </c>
      <c r="P83" s="13">
        <v>4874</v>
      </c>
      <c r="Q83" s="13">
        <v>4638</v>
      </c>
      <c r="R83" s="13">
        <v>5215</v>
      </c>
      <c r="S83" s="13">
        <v>5082</v>
      </c>
      <c r="T83" s="12">
        <v>1740</v>
      </c>
      <c r="U83" s="12">
        <v>2123</v>
      </c>
      <c r="V83" s="12">
        <v>1498</v>
      </c>
      <c r="W83" s="12">
        <v>2132</v>
      </c>
      <c r="X83" s="12">
        <v>1578</v>
      </c>
      <c r="Y83" s="12">
        <v>5.88</v>
      </c>
      <c r="Z83" s="12">
        <v>4.29</v>
      </c>
      <c r="AA83" s="12">
        <v>4.29</v>
      </c>
      <c r="AB83" s="13">
        <v>5.88</v>
      </c>
      <c r="AC83" s="13">
        <v>4.29</v>
      </c>
      <c r="AD83" s="13">
        <v>4.29</v>
      </c>
      <c r="AE83" s="35" t="s">
        <v>258</v>
      </c>
      <c r="AF83" s="35" t="s">
        <v>258</v>
      </c>
      <c r="AG83" s="35" t="s">
        <v>259</v>
      </c>
      <c r="AH83" s="38">
        <v>1</v>
      </c>
      <c r="AI83" s="38">
        <v>1</v>
      </c>
      <c r="AJ83" s="38">
        <v>1</v>
      </c>
      <c r="AK83" s="45" t="s">
        <v>288</v>
      </c>
      <c r="AL83" s="45" t="s">
        <v>34</v>
      </c>
      <c r="AM83" s="45" t="s">
        <v>34</v>
      </c>
      <c r="AN83" s="45" t="s">
        <v>34</v>
      </c>
      <c r="AO83" s="45" t="s">
        <v>34</v>
      </c>
      <c r="AP83" s="45" t="s">
        <v>34</v>
      </c>
      <c r="AQ83" s="53" t="s">
        <v>297</v>
      </c>
      <c r="AR83" s="56">
        <v>137</v>
      </c>
      <c r="AS83" s="57">
        <v>75</v>
      </c>
      <c r="AT83" s="56">
        <v>198</v>
      </c>
      <c r="AU83" s="57">
        <v>14869</v>
      </c>
      <c r="AV83" s="57">
        <v>7318</v>
      </c>
      <c r="AW83" s="57">
        <v>8656</v>
      </c>
      <c r="AX83" s="57">
        <v>3</v>
      </c>
      <c r="AY83" s="57">
        <v>3</v>
      </c>
      <c r="AZ83" s="57">
        <v>0</v>
      </c>
      <c r="BA83" s="57">
        <v>3124</v>
      </c>
      <c r="BB83" s="57">
        <v>5480</v>
      </c>
      <c r="BC83" s="57">
        <v>5169</v>
      </c>
      <c r="BD83" s="57">
        <v>2458</v>
      </c>
      <c r="BE83" s="57">
        <v>2527</v>
      </c>
      <c r="BF83" s="57">
        <v>2213</v>
      </c>
      <c r="BG83" s="57">
        <v>2422</v>
      </c>
      <c r="BH83" s="57">
        <v>3065</v>
      </c>
      <c r="BI83" s="57">
        <v>3160</v>
      </c>
      <c r="BJ83" s="57" t="s">
        <v>296</v>
      </c>
      <c r="BK83" s="57">
        <v>45</v>
      </c>
      <c r="BL83" s="57">
        <v>0</v>
      </c>
      <c r="BM83" s="57">
        <v>0</v>
      </c>
      <c r="BN83" s="57">
        <v>0</v>
      </c>
      <c r="BO83" s="57">
        <v>0</v>
      </c>
      <c r="BP83" s="57">
        <v>32</v>
      </c>
      <c r="BQ83" s="76">
        <v>279</v>
      </c>
      <c r="BR83" s="76">
        <v>276</v>
      </c>
      <c r="BS83">
        <v>274</v>
      </c>
      <c r="BT83">
        <v>274</v>
      </c>
      <c r="BU83">
        <v>274</v>
      </c>
      <c r="BV83">
        <v>29870</v>
      </c>
      <c r="BW83">
        <v>29685</v>
      </c>
      <c r="BX83">
        <v>29437</v>
      </c>
      <c r="BY83">
        <v>29041</v>
      </c>
      <c r="BZ83">
        <v>28468</v>
      </c>
      <c r="CA83">
        <v>134</v>
      </c>
      <c r="CB83">
        <v>104</v>
      </c>
      <c r="CC83">
        <v>95</v>
      </c>
      <c r="CD83">
        <v>102</v>
      </c>
      <c r="CE83">
        <v>95</v>
      </c>
      <c r="CF83">
        <v>7103</v>
      </c>
      <c r="CG83">
        <v>6997</v>
      </c>
      <c r="CH83">
        <v>6136</v>
      </c>
      <c r="CI83">
        <v>7347</v>
      </c>
      <c r="CJ83">
        <v>6660</v>
      </c>
      <c r="CK83" s="10">
        <v>28.2</v>
      </c>
      <c r="CL83" s="10">
        <v>28.3</v>
      </c>
      <c r="CM83" s="10">
        <v>28.3</v>
      </c>
      <c r="CN83" s="11">
        <v>18.79</v>
      </c>
      <c r="CO83" s="11">
        <v>18.79</v>
      </c>
      <c r="CP83" s="11">
        <v>18.79</v>
      </c>
      <c r="CQ83" s="13">
        <v>33</v>
      </c>
      <c r="CR83" s="13">
        <v>16</v>
      </c>
      <c r="CS83" s="13">
        <v>0</v>
      </c>
      <c r="CT83" s="10">
        <v>0</v>
      </c>
      <c r="CU83" s="10">
        <v>0</v>
      </c>
      <c r="CV83" s="10">
        <v>14</v>
      </c>
      <c r="CW83" s="10">
        <v>8</v>
      </c>
      <c r="CX83" s="10">
        <v>2</v>
      </c>
      <c r="CY83" s="10">
        <v>0</v>
      </c>
      <c r="CZ83" s="10">
        <v>0</v>
      </c>
      <c r="DA83" s="10">
        <v>0</v>
      </c>
      <c r="DB83" s="10">
        <v>0</v>
      </c>
      <c r="DC83" s="10">
        <v>0</v>
      </c>
      <c r="DD83" s="10">
        <v>1</v>
      </c>
      <c r="DE83" s="10">
        <v>0</v>
      </c>
      <c r="DF83" s="10">
        <v>3</v>
      </c>
      <c r="DG83" s="10">
        <v>0</v>
      </c>
      <c r="DH83" s="10">
        <v>0</v>
      </c>
      <c r="DI83" s="81">
        <v>3</v>
      </c>
      <c r="DJ83" s="81">
        <v>7</v>
      </c>
      <c r="DK83" s="81">
        <v>0</v>
      </c>
      <c r="DL83" s="81">
        <v>0</v>
      </c>
      <c r="DM83" s="81">
        <v>20</v>
      </c>
      <c r="DN83" s="12">
        <v>5</v>
      </c>
      <c r="DO83" s="12">
        <v>1</v>
      </c>
      <c r="DP83" s="12">
        <v>4</v>
      </c>
      <c r="DQ83" s="12">
        <v>8</v>
      </c>
      <c r="DR83" s="12">
        <v>0</v>
      </c>
      <c r="DS83" s="12">
        <v>0</v>
      </c>
      <c r="DT83" s="12">
        <v>0</v>
      </c>
      <c r="DU83" s="12">
        <v>0</v>
      </c>
      <c r="DV83" s="12">
        <v>14</v>
      </c>
      <c r="DW83" s="12">
        <v>4</v>
      </c>
      <c r="DX83" s="12">
        <v>3</v>
      </c>
      <c r="DY83" s="12">
        <v>4</v>
      </c>
      <c r="DZ83" s="12">
        <v>0</v>
      </c>
      <c r="EA83" s="12">
        <v>0</v>
      </c>
      <c r="EB83" s="12">
        <v>16</v>
      </c>
      <c r="EC83" s="12">
        <v>0</v>
      </c>
      <c r="ED83" s="12">
        <v>2</v>
      </c>
      <c r="EE83" s="12">
        <v>8</v>
      </c>
      <c r="EF83" s="12">
        <v>4</v>
      </c>
      <c r="EG83" s="12">
        <v>1</v>
      </c>
      <c r="EH83" s="12">
        <v>0</v>
      </c>
      <c r="EI83" s="12">
        <v>0</v>
      </c>
      <c r="EJ83" s="12">
        <v>1</v>
      </c>
      <c r="EK83" s="12">
        <v>0</v>
      </c>
      <c r="EL83" s="12">
        <v>4</v>
      </c>
      <c r="EM83" s="12">
        <v>2</v>
      </c>
      <c r="EN83" s="12">
        <v>3</v>
      </c>
      <c r="EO83" s="12">
        <v>1</v>
      </c>
      <c r="EP83" s="12">
        <v>2</v>
      </c>
      <c r="EQ83" s="12">
        <v>5</v>
      </c>
      <c r="ER83" s="12">
        <v>1</v>
      </c>
      <c r="ES83" s="13">
        <v>7</v>
      </c>
      <c r="ET83" s="13">
        <v>9</v>
      </c>
      <c r="EU83" s="13">
        <v>0</v>
      </c>
      <c r="EV83" s="10">
        <v>0</v>
      </c>
      <c r="EW83" s="10">
        <v>0</v>
      </c>
      <c r="EX83" s="10">
        <v>8</v>
      </c>
      <c r="EY83" s="10">
        <v>8</v>
      </c>
      <c r="EZ83" s="10">
        <v>0</v>
      </c>
      <c r="FA83" s="10">
        <v>0</v>
      </c>
      <c r="FB83" s="10">
        <v>0</v>
      </c>
      <c r="FC83" s="10">
        <v>0</v>
      </c>
      <c r="FD83" s="10">
        <v>0</v>
      </c>
      <c r="FE83" s="10">
        <v>0</v>
      </c>
      <c r="FF83" s="10">
        <v>3</v>
      </c>
      <c r="FG83" s="10">
        <v>0</v>
      </c>
      <c r="FH83" s="10">
        <v>0</v>
      </c>
      <c r="FI83" s="10">
        <v>0</v>
      </c>
      <c r="FJ83" s="10">
        <v>0</v>
      </c>
      <c r="FK83" s="81">
        <v>4</v>
      </c>
      <c r="FL83" s="81">
        <v>4</v>
      </c>
      <c r="FM83" s="81">
        <v>0</v>
      </c>
      <c r="FN83" s="81">
        <v>0</v>
      </c>
      <c r="FO83" s="81">
        <v>7</v>
      </c>
      <c r="FP83" s="12">
        <v>2</v>
      </c>
      <c r="FQ83" s="12">
        <v>0</v>
      </c>
      <c r="FR83" s="12">
        <v>1</v>
      </c>
      <c r="FS83" s="12">
        <v>1</v>
      </c>
      <c r="FT83" s="12">
        <v>0</v>
      </c>
      <c r="FU83" s="12">
        <v>0</v>
      </c>
      <c r="FV83" s="12">
        <v>0</v>
      </c>
      <c r="FW83" s="12">
        <v>0</v>
      </c>
      <c r="FX83" s="12">
        <v>31</v>
      </c>
      <c r="FY83" s="12">
        <v>0</v>
      </c>
      <c r="FZ83" s="12">
        <v>0</v>
      </c>
      <c r="GA83" s="12">
        <v>1</v>
      </c>
      <c r="GB83" s="12">
        <v>0</v>
      </c>
      <c r="GC83" s="12">
        <v>0</v>
      </c>
      <c r="GD83" s="12">
        <v>4</v>
      </c>
      <c r="GE83" s="12">
        <v>0</v>
      </c>
      <c r="GF83" s="12">
        <v>1</v>
      </c>
      <c r="GG83" s="12">
        <v>0</v>
      </c>
      <c r="GH83" s="12">
        <v>5</v>
      </c>
      <c r="GI83" s="12">
        <v>0</v>
      </c>
      <c r="GJ83" s="12">
        <v>0</v>
      </c>
      <c r="GK83" s="12">
        <v>0</v>
      </c>
      <c r="GL83" s="12">
        <v>1</v>
      </c>
      <c r="GM83" s="12">
        <v>0</v>
      </c>
      <c r="GN83" s="12">
        <v>3</v>
      </c>
      <c r="GO83" s="12">
        <v>2</v>
      </c>
      <c r="GP83" s="12">
        <v>0</v>
      </c>
      <c r="GQ83" s="12">
        <v>3</v>
      </c>
      <c r="GR83" s="12">
        <v>0</v>
      </c>
      <c r="GS83" s="12">
        <v>3</v>
      </c>
      <c r="GT83" s="12">
        <v>0</v>
      </c>
      <c r="GU83" s="13">
        <v>75</v>
      </c>
      <c r="GV83" s="13">
        <v>61</v>
      </c>
      <c r="GW83" s="13">
        <v>5</v>
      </c>
      <c r="GX83" s="13">
        <v>0</v>
      </c>
      <c r="GY83" s="10">
        <v>0</v>
      </c>
      <c r="GZ83" s="10">
        <v>0</v>
      </c>
      <c r="HA83" s="10">
        <v>19</v>
      </c>
      <c r="HB83" s="10">
        <v>0</v>
      </c>
      <c r="HC83" s="10">
        <v>0</v>
      </c>
      <c r="HD83" s="10">
        <v>0</v>
      </c>
      <c r="HE83" s="10">
        <v>0</v>
      </c>
      <c r="HF83" s="10">
        <v>0</v>
      </c>
      <c r="HG83" s="10">
        <v>0</v>
      </c>
      <c r="HH83" s="10">
        <v>0</v>
      </c>
      <c r="HI83" s="10">
        <v>0</v>
      </c>
      <c r="HJ83" s="10">
        <v>0</v>
      </c>
      <c r="HK83" s="10">
        <v>0</v>
      </c>
      <c r="HL83" s="10">
        <v>0</v>
      </c>
      <c r="HM83" s="10">
        <v>0</v>
      </c>
      <c r="HN83" s="81">
        <v>2</v>
      </c>
      <c r="HO83" s="81">
        <v>3</v>
      </c>
      <c r="HP83" s="81">
        <v>0</v>
      </c>
      <c r="HQ83" s="81">
        <v>0</v>
      </c>
      <c r="HR83" s="81">
        <v>7</v>
      </c>
      <c r="HS83" s="12">
        <v>0</v>
      </c>
      <c r="HT83" s="12">
        <v>0</v>
      </c>
      <c r="HU83" s="12">
        <v>15</v>
      </c>
      <c r="HV83" s="12">
        <v>1</v>
      </c>
      <c r="HW83" s="12">
        <v>0</v>
      </c>
      <c r="HX83" s="12">
        <v>0</v>
      </c>
      <c r="HY83" s="12">
        <v>0</v>
      </c>
      <c r="HZ83" s="12">
        <v>0</v>
      </c>
      <c r="IA83" s="12">
        <v>0</v>
      </c>
      <c r="IB83" s="12">
        <v>0</v>
      </c>
      <c r="IC83" s="12">
        <v>0</v>
      </c>
      <c r="ID83" s="12">
        <v>0</v>
      </c>
      <c r="IE83" s="12">
        <v>0</v>
      </c>
      <c r="IF83" s="12">
        <v>0</v>
      </c>
      <c r="IG83" s="12">
        <v>2</v>
      </c>
      <c r="IH83" s="12">
        <v>0</v>
      </c>
      <c r="II83" s="12">
        <v>0</v>
      </c>
      <c r="IJ83" s="12">
        <v>0</v>
      </c>
      <c r="IK83" s="12">
        <v>0</v>
      </c>
      <c r="IL83" s="12">
        <v>0</v>
      </c>
      <c r="IM83" s="12">
        <v>0</v>
      </c>
      <c r="IN83" s="12">
        <v>0</v>
      </c>
      <c r="IO83" s="12">
        <v>0</v>
      </c>
      <c r="IP83" s="12">
        <v>1</v>
      </c>
      <c r="IQ83" s="12">
        <v>0</v>
      </c>
      <c r="IR83" s="12">
        <v>2</v>
      </c>
      <c r="IS83" s="12">
        <v>0</v>
      </c>
      <c r="IT83" s="12">
        <v>15</v>
      </c>
      <c r="IU83" s="12">
        <v>0</v>
      </c>
      <c r="IV83" s="12">
        <v>5</v>
      </c>
      <c r="IW83" s="12">
        <v>0</v>
      </c>
      <c r="IX83" s="11">
        <v>20707</v>
      </c>
      <c r="IY83" s="11">
        <v>20700</v>
      </c>
      <c r="IZ83" s="11">
        <v>20707</v>
      </c>
      <c r="JA83" s="85">
        <v>0</v>
      </c>
      <c r="JB83" s="85">
        <v>0</v>
      </c>
      <c r="JC83" s="85">
        <v>0</v>
      </c>
      <c r="JD83" s="12">
        <v>7</v>
      </c>
      <c r="JE83" s="12">
        <v>4</v>
      </c>
      <c r="JF83" s="12">
        <v>7</v>
      </c>
      <c r="JG83" s="12">
        <v>6</v>
      </c>
      <c r="JH83" s="12">
        <v>6</v>
      </c>
      <c r="JI83" s="12">
        <v>6</v>
      </c>
      <c r="JJ83" s="13" t="s">
        <v>619</v>
      </c>
      <c r="JK83" s="13" t="s">
        <v>619</v>
      </c>
      <c r="JL83" s="13" t="s">
        <v>296</v>
      </c>
      <c r="JM83" s="89"/>
      <c r="JN83" s="89"/>
      <c r="JO83" s="89" t="s">
        <v>297</v>
      </c>
      <c r="JP83" s="89"/>
      <c r="JQ83" s="89"/>
      <c r="JR83" s="89" t="s">
        <v>297</v>
      </c>
      <c r="JS83" s="89" t="s">
        <v>620</v>
      </c>
      <c r="JT83" s="89" t="s">
        <v>619</v>
      </c>
      <c r="JU83" s="89" t="s">
        <v>296</v>
      </c>
      <c r="JV83" s="89"/>
      <c r="JW83" s="89"/>
      <c r="JX83" s="89" t="s">
        <v>297</v>
      </c>
      <c r="JY83" s="12" t="s">
        <v>34</v>
      </c>
      <c r="JZ83" s="12" t="s">
        <v>34</v>
      </c>
      <c r="KA83" s="12" t="s">
        <v>34</v>
      </c>
      <c r="KB83" s="12" t="s">
        <v>34</v>
      </c>
      <c r="KC83" s="12" t="s">
        <v>619</v>
      </c>
      <c r="KD83" s="12" t="s">
        <v>34</v>
      </c>
      <c r="KE83" s="12" t="s">
        <v>34</v>
      </c>
      <c r="KF83" s="12"/>
      <c r="KG83" s="12" t="s">
        <v>34</v>
      </c>
      <c r="KH83" s="12" t="s">
        <v>34</v>
      </c>
      <c r="KI83" s="12" t="s">
        <v>34</v>
      </c>
      <c r="KJ83" s="12" t="s">
        <v>34</v>
      </c>
      <c r="KK83" s="12" t="s">
        <v>34</v>
      </c>
      <c r="KL83" s="12" t="s">
        <v>34</v>
      </c>
      <c r="KM83" s="12" t="s">
        <v>619</v>
      </c>
      <c r="KN83" s="12" t="s">
        <v>619</v>
      </c>
      <c r="KO83" s="12" t="s">
        <v>619</v>
      </c>
      <c r="KP83" s="12" t="s">
        <v>34</v>
      </c>
      <c r="KQ83" s="12" t="s">
        <v>619</v>
      </c>
      <c r="KR83" s="12" t="s">
        <v>619</v>
      </c>
      <c r="KS83" s="12" t="s">
        <v>34</v>
      </c>
      <c r="KT83" s="12" t="s">
        <v>34</v>
      </c>
      <c r="KU83" s="12" t="s">
        <v>34</v>
      </c>
      <c r="KV83" s="12" t="s">
        <v>34</v>
      </c>
      <c r="KW83" s="12" t="s">
        <v>34</v>
      </c>
      <c r="KX83" s="12" t="s">
        <v>34</v>
      </c>
      <c r="KY83" s="12" t="s">
        <v>34</v>
      </c>
      <c r="KZ83" s="12" t="s">
        <v>34</v>
      </c>
      <c r="LA83" s="12" t="s">
        <v>34</v>
      </c>
      <c r="LB83" s="12" t="s">
        <v>619</v>
      </c>
      <c r="LC83" s="12" t="s">
        <v>34</v>
      </c>
      <c r="LD83" s="12" t="s">
        <v>619</v>
      </c>
      <c r="LE83" s="12" t="s">
        <v>619</v>
      </c>
      <c r="LF83" s="12" t="s">
        <v>34</v>
      </c>
      <c r="LG83" s="12" t="s">
        <v>34</v>
      </c>
      <c r="LH83" s="12" t="s">
        <v>34</v>
      </c>
      <c r="LI83" s="12" t="s">
        <v>619</v>
      </c>
      <c r="LJ83" s="12" t="s">
        <v>619</v>
      </c>
      <c r="LK83" s="12" t="s">
        <v>34</v>
      </c>
      <c r="LL83" s="13" t="s">
        <v>619</v>
      </c>
      <c r="LM83" s="13" t="s">
        <v>34</v>
      </c>
      <c r="LN83" s="13" t="s">
        <v>619</v>
      </c>
      <c r="LO83" s="13" t="s">
        <v>34</v>
      </c>
      <c r="LP83" s="90" t="s">
        <v>34</v>
      </c>
      <c r="LQ83" s="13" t="s">
        <v>34</v>
      </c>
      <c r="LR83" s="13" t="s">
        <v>34</v>
      </c>
      <c r="LS83" s="13"/>
      <c r="LT83" s="13" t="s">
        <v>619</v>
      </c>
      <c r="LU83" s="13" t="s">
        <v>34</v>
      </c>
      <c r="LV83" s="13" t="s">
        <v>619</v>
      </c>
      <c r="LW83" s="13" t="s">
        <v>619</v>
      </c>
      <c r="LX83" s="13" t="s">
        <v>619</v>
      </c>
      <c r="LY83" s="13" t="s">
        <v>34</v>
      </c>
      <c r="LZ83" s="13" t="s">
        <v>34</v>
      </c>
      <c r="MA83" s="13" t="s">
        <v>34</v>
      </c>
      <c r="MB83" s="13" t="s">
        <v>34</v>
      </c>
      <c r="MC83" s="13" t="s">
        <v>34</v>
      </c>
      <c r="MD83" s="13" t="s">
        <v>34</v>
      </c>
      <c r="ME83" s="13" t="s">
        <v>34</v>
      </c>
      <c r="MF83" s="13" t="s">
        <v>34</v>
      </c>
      <c r="MG83" s="13" t="s">
        <v>34</v>
      </c>
      <c r="MH83" s="13" t="s">
        <v>619</v>
      </c>
      <c r="MI83" s="13" t="s">
        <v>34</v>
      </c>
      <c r="MJ83" s="13" t="s">
        <v>34</v>
      </c>
      <c r="MK83" s="13" t="s">
        <v>619</v>
      </c>
      <c r="ML83" s="13" t="s">
        <v>34</v>
      </c>
      <c r="MM83" s="13" t="s">
        <v>619</v>
      </c>
      <c r="MN83" s="13" t="s">
        <v>34</v>
      </c>
      <c r="MO83" s="13" t="s">
        <v>34</v>
      </c>
      <c r="MP83" s="13" t="s">
        <v>34</v>
      </c>
      <c r="MQ83" s="13" t="s">
        <v>34</v>
      </c>
      <c r="MR83" s="13" t="s">
        <v>34</v>
      </c>
      <c r="MS83" s="13" t="s">
        <v>34</v>
      </c>
      <c r="MT83" s="13" t="s">
        <v>34</v>
      </c>
      <c r="MU83" s="13" t="s">
        <v>34</v>
      </c>
      <c r="MV83" s="13" t="s">
        <v>34</v>
      </c>
      <c r="MW83" s="13" t="s">
        <v>34</v>
      </c>
      <c r="MX83" s="13" t="s">
        <v>619</v>
      </c>
      <c r="MY83" s="28" t="s">
        <v>296</v>
      </c>
      <c r="MZ83" s="28" t="s">
        <v>296</v>
      </c>
      <c r="NA83" s="28" t="s">
        <v>296</v>
      </c>
      <c r="NB83" s="28" t="s">
        <v>296</v>
      </c>
      <c r="NC83" s="28" t="s">
        <v>296</v>
      </c>
      <c r="ND83" s="28" t="s">
        <v>296</v>
      </c>
      <c r="NE83" s="28" t="s">
        <v>297</v>
      </c>
      <c r="NF83" s="28" t="s">
        <v>297</v>
      </c>
      <c r="NG83" s="28" t="s">
        <v>297</v>
      </c>
      <c r="NH83" s="28" t="s">
        <v>297</v>
      </c>
      <c r="NI83" s="177" t="s">
        <v>296</v>
      </c>
      <c r="NJ83" s="177" t="s">
        <v>297</v>
      </c>
      <c r="NK83" s="177" t="s">
        <v>296</v>
      </c>
      <c r="NL83" s="177" t="s">
        <v>297</v>
      </c>
      <c r="NM83" s="177" t="s">
        <v>296</v>
      </c>
      <c r="NN83" s="177" t="s">
        <v>296</v>
      </c>
      <c r="NO83" s="177" t="s">
        <v>296</v>
      </c>
      <c r="NP83" s="177" t="s">
        <v>297</v>
      </c>
      <c r="NQ83" s="177" t="s">
        <v>297</v>
      </c>
      <c r="NR83" s="12" t="s">
        <v>34</v>
      </c>
      <c r="NS83" s="13" t="s">
        <v>34</v>
      </c>
    </row>
    <row r="84" spans="1:383" x14ac:dyDescent="0.25">
      <c r="A84" s="8" t="s">
        <v>208</v>
      </c>
      <c r="B84" s="9" t="s">
        <v>209</v>
      </c>
      <c r="C84" s="9">
        <v>76</v>
      </c>
      <c r="D84" s="9" t="s">
        <v>54</v>
      </c>
      <c r="E84" s="10">
        <v>81</v>
      </c>
      <c r="F84" s="10">
        <v>60</v>
      </c>
      <c r="G84" s="10">
        <v>53</v>
      </c>
      <c r="H84" s="10">
        <v>73</v>
      </c>
      <c r="I84" s="10">
        <v>51</v>
      </c>
      <c r="J84" s="11">
        <v>53</v>
      </c>
      <c r="K84" s="11">
        <v>52</v>
      </c>
      <c r="L84" s="11">
        <v>207</v>
      </c>
      <c r="M84" s="11">
        <v>315</v>
      </c>
      <c r="N84" s="11">
        <v>207</v>
      </c>
      <c r="O84" s="13">
        <v>3735</v>
      </c>
      <c r="P84" s="13">
        <v>3098</v>
      </c>
      <c r="Q84" s="13">
        <v>2968</v>
      </c>
      <c r="R84" s="13">
        <v>4622</v>
      </c>
      <c r="S84" s="13">
        <v>3031</v>
      </c>
      <c r="T84" s="12">
        <v>1685</v>
      </c>
      <c r="U84" s="12">
        <v>1480</v>
      </c>
      <c r="V84" s="12">
        <v>1903</v>
      </c>
      <c r="W84" s="12">
        <v>2473</v>
      </c>
      <c r="X84" s="12">
        <v>1600</v>
      </c>
      <c r="Y84" s="12">
        <v>4.5999999999999996</v>
      </c>
      <c r="Z84" s="12">
        <v>3.3</v>
      </c>
      <c r="AA84" s="12">
        <v>4.5999999999999996</v>
      </c>
      <c r="AB84" s="13">
        <v>4.5999999999999996</v>
      </c>
      <c r="AC84" s="13">
        <v>3.3</v>
      </c>
      <c r="AD84" s="13">
        <v>4.5999999999999996</v>
      </c>
      <c r="AE84" s="35" t="s">
        <v>258</v>
      </c>
      <c r="AF84" s="35" t="s">
        <v>259</v>
      </c>
      <c r="AG84" s="35" t="s">
        <v>259</v>
      </c>
      <c r="AH84" s="38">
        <v>1</v>
      </c>
      <c r="AI84" s="38">
        <v>1</v>
      </c>
      <c r="AJ84" s="38">
        <v>1</v>
      </c>
      <c r="AK84" s="45" t="s">
        <v>34</v>
      </c>
      <c r="AL84" s="45" t="s">
        <v>34</v>
      </c>
      <c r="AM84" s="45" t="s">
        <v>34</v>
      </c>
      <c r="AN84" s="45" t="s">
        <v>293</v>
      </c>
      <c r="AO84" s="45" t="s">
        <v>34</v>
      </c>
      <c r="AP84" s="45" t="s">
        <v>34</v>
      </c>
      <c r="AQ84" s="53" t="s">
        <v>297</v>
      </c>
      <c r="AR84" s="56">
        <v>273</v>
      </c>
      <c r="AS84" s="57">
        <v>130</v>
      </c>
      <c r="AT84" s="56">
        <v>119</v>
      </c>
      <c r="AU84" s="57">
        <v>25733</v>
      </c>
      <c r="AV84" s="57">
        <v>12006</v>
      </c>
      <c r="AW84" s="57">
        <v>8119</v>
      </c>
      <c r="AX84" s="57">
        <v>1</v>
      </c>
      <c r="AY84" s="57">
        <v>1</v>
      </c>
      <c r="AZ84" s="57">
        <v>0</v>
      </c>
      <c r="BA84" s="57">
        <v>2542</v>
      </c>
      <c r="BB84" s="57">
        <v>429</v>
      </c>
      <c r="BC84" s="57">
        <v>1501</v>
      </c>
      <c r="BD84" s="57">
        <v>0</v>
      </c>
      <c r="BE84" s="57">
        <v>0</v>
      </c>
      <c r="BF84" s="57">
        <v>0</v>
      </c>
      <c r="BG84" s="57">
        <v>0</v>
      </c>
      <c r="BH84" s="57">
        <v>0</v>
      </c>
      <c r="BI84" s="57">
        <v>0</v>
      </c>
      <c r="BJ84" s="57" t="s">
        <v>296</v>
      </c>
      <c r="BK84" s="57">
        <v>16</v>
      </c>
      <c r="BL84" s="57">
        <v>0</v>
      </c>
      <c r="BM84" s="57">
        <v>0</v>
      </c>
      <c r="BN84" s="57">
        <v>9000</v>
      </c>
      <c r="BO84" s="57">
        <v>2500</v>
      </c>
      <c r="BP84" s="57">
        <v>3200</v>
      </c>
      <c r="BQ84" s="76">
        <v>214</v>
      </c>
      <c r="BR84" s="76">
        <v>213</v>
      </c>
      <c r="BS84">
        <v>210</v>
      </c>
      <c r="BT84">
        <v>210</v>
      </c>
      <c r="BU84">
        <v>210</v>
      </c>
      <c r="BV84">
        <v>24034</v>
      </c>
      <c r="BW84">
        <v>23891</v>
      </c>
      <c r="BX84">
        <v>23581</v>
      </c>
      <c r="BY84">
        <v>23260</v>
      </c>
      <c r="BZ84">
        <v>22569</v>
      </c>
      <c r="CA84">
        <v>81</v>
      </c>
      <c r="CB84">
        <v>65</v>
      </c>
      <c r="CC84">
        <v>61</v>
      </c>
      <c r="CD84">
        <v>73</v>
      </c>
      <c r="CE84">
        <v>52</v>
      </c>
      <c r="CF84">
        <v>5420</v>
      </c>
      <c r="CG84">
        <v>4578</v>
      </c>
      <c r="CH84">
        <v>4871</v>
      </c>
      <c r="CI84">
        <v>7095</v>
      </c>
      <c r="CJ84">
        <v>4631</v>
      </c>
      <c r="CK84" s="10">
        <v>35</v>
      </c>
      <c r="CL84" s="10">
        <v>35</v>
      </c>
      <c r="CM84" s="10">
        <v>35</v>
      </c>
      <c r="CN84" s="11">
        <v>15</v>
      </c>
      <c r="CO84" s="11">
        <v>15</v>
      </c>
      <c r="CP84" s="11">
        <v>15</v>
      </c>
      <c r="CQ84" s="13">
        <v>35</v>
      </c>
      <c r="CR84" s="13">
        <v>10</v>
      </c>
      <c r="CS84" s="13">
        <v>0</v>
      </c>
      <c r="CT84" s="10">
        <v>0</v>
      </c>
      <c r="CU84" s="10">
        <v>0</v>
      </c>
      <c r="CV84" s="10">
        <v>15</v>
      </c>
      <c r="CW84" s="10">
        <v>0</v>
      </c>
      <c r="CX84" s="10">
        <v>4</v>
      </c>
      <c r="CY84" s="10">
        <v>0</v>
      </c>
      <c r="CZ84" s="10">
        <v>0</v>
      </c>
      <c r="DA84" s="10">
        <v>0</v>
      </c>
      <c r="DB84" s="10">
        <v>0</v>
      </c>
      <c r="DC84" s="10">
        <v>0</v>
      </c>
      <c r="DD84" s="10">
        <v>0</v>
      </c>
      <c r="DE84" s="10">
        <v>0</v>
      </c>
      <c r="DF84" s="10">
        <v>10</v>
      </c>
      <c r="DG84" s="10">
        <v>0</v>
      </c>
      <c r="DH84" s="10">
        <v>0</v>
      </c>
      <c r="DI84" s="81">
        <v>5</v>
      </c>
      <c r="DJ84" s="81">
        <v>0</v>
      </c>
      <c r="DK84" s="81">
        <v>5</v>
      </c>
      <c r="DL84" s="81">
        <v>0</v>
      </c>
      <c r="DM84" s="81">
        <v>14</v>
      </c>
      <c r="DN84" s="12">
        <v>0</v>
      </c>
      <c r="DO84" s="12">
        <v>0</v>
      </c>
      <c r="DP84" s="12">
        <v>0</v>
      </c>
      <c r="DQ84" s="12">
        <v>0</v>
      </c>
      <c r="DR84" s="12">
        <v>0</v>
      </c>
      <c r="DS84" s="12">
        <v>0</v>
      </c>
      <c r="DT84" s="12">
        <v>0</v>
      </c>
      <c r="DU84" s="12">
        <v>0</v>
      </c>
      <c r="DV84" s="12">
        <v>43</v>
      </c>
      <c r="DW84" s="12">
        <v>0</v>
      </c>
      <c r="DX84" s="12">
        <v>1</v>
      </c>
      <c r="DY84" s="12">
        <v>9</v>
      </c>
      <c r="DZ84" s="12">
        <v>0</v>
      </c>
      <c r="EA84" s="12">
        <v>0</v>
      </c>
      <c r="EB84" s="12">
        <v>3</v>
      </c>
      <c r="EC84" s="12">
        <v>0</v>
      </c>
      <c r="ED84" s="12">
        <v>0</v>
      </c>
      <c r="EE84" s="12">
        <v>12</v>
      </c>
      <c r="EF84" s="12">
        <v>0</v>
      </c>
      <c r="EG84" s="12">
        <v>0</v>
      </c>
      <c r="EH84" s="12">
        <v>0</v>
      </c>
      <c r="EI84" s="12">
        <v>0</v>
      </c>
      <c r="EJ84" s="12">
        <v>0</v>
      </c>
      <c r="EK84" s="12">
        <v>0</v>
      </c>
      <c r="EL84" s="12">
        <v>3</v>
      </c>
      <c r="EM84" s="12">
        <v>1</v>
      </c>
      <c r="EN84" s="12">
        <v>1</v>
      </c>
      <c r="EO84" s="12">
        <v>0</v>
      </c>
      <c r="EP84" s="12">
        <v>0</v>
      </c>
      <c r="EQ84" s="12">
        <v>5</v>
      </c>
      <c r="ER84" s="12">
        <v>0</v>
      </c>
      <c r="ES84" s="13">
        <v>10</v>
      </c>
      <c r="ET84" s="13">
        <v>9</v>
      </c>
      <c r="EU84" s="13">
        <v>0</v>
      </c>
      <c r="EV84" s="10">
        <v>0</v>
      </c>
      <c r="EW84" s="10">
        <v>0</v>
      </c>
      <c r="EX84" s="10">
        <v>4</v>
      </c>
      <c r="EY84" s="10">
        <v>0</v>
      </c>
      <c r="EZ84" s="10">
        <v>0</v>
      </c>
      <c r="FA84" s="10">
        <v>0</v>
      </c>
      <c r="FB84" s="10">
        <v>0</v>
      </c>
      <c r="FC84" s="10">
        <v>0</v>
      </c>
      <c r="FD84" s="10">
        <v>0</v>
      </c>
      <c r="FE84" s="10">
        <v>0</v>
      </c>
      <c r="FF84" s="10">
        <v>0</v>
      </c>
      <c r="FG84" s="10">
        <v>0</v>
      </c>
      <c r="FH84" s="10">
        <v>0</v>
      </c>
      <c r="FI84" s="10">
        <v>0</v>
      </c>
      <c r="FJ84" s="10">
        <v>0</v>
      </c>
      <c r="FK84" s="81">
        <v>3</v>
      </c>
      <c r="FL84" s="81">
        <v>0</v>
      </c>
      <c r="FM84" s="81">
        <v>0</v>
      </c>
      <c r="FN84" s="81">
        <v>0</v>
      </c>
      <c r="FO84" s="81">
        <v>33</v>
      </c>
      <c r="FP84" s="12">
        <v>0</v>
      </c>
      <c r="FQ84" s="12">
        <v>0</v>
      </c>
      <c r="FR84" s="12">
        <v>0</v>
      </c>
      <c r="FS84" s="12">
        <v>0</v>
      </c>
      <c r="FT84" s="12">
        <v>0</v>
      </c>
      <c r="FU84" s="12">
        <v>0</v>
      </c>
      <c r="FV84" s="12">
        <v>0</v>
      </c>
      <c r="FW84" s="12">
        <v>0</v>
      </c>
      <c r="FX84" s="12">
        <v>4</v>
      </c>
      <c r="FY84" s="12">
        <v>0</v>
      </c>
      <c r="FZ84" s="12">
        <v>0</v>
      </c>
      <c r="GA84" s="12">
        <v>2</v>
      </c>
      <c r="GB84" s="12">
        <v>0</v>
      </c>
      <c r="GC84" s="12">
        <v>0</v>
      </c>
      <c r="GD84" s="12">
        <v>5</v>
      </c>
      <c r="GE84" s="12">
        <v>0</v>
      </c>
      <c r="GF84" s="12">
        <v>0</v>
      </c>
      <c r="GG84" s="12">
        <v>27</v>
      </c>
      <c r="GH84" s="12">
        <v>0</v>
      </c>
      <c r="GI84" s="12">
        <v>0</v>
      </c>
      <c r="GJ84" s="12">
        <v>0</v>
      </c>
      <c r="GK84" s="12">
        <v>0</v>
      </c>
      <c r="GL84" s="12">
        <v>0</v>
      </c>
      <c r="GM84" s="12">
        <v>0</v>
      </c>
      <c r="GN84" s="12">
        <v>0</v>
      </c>
      <c r="GO84" s="12">
        <v>0</v>
      </c>
      <c r="GP84" s="12">
        <v>0</v>
      </c>
      <c r="GQ84" s="12">
        <v>0</v>
      </c>
      <c r="GR84" s="12">
        <v>0</v>
      </c>
      <c r="GS84" s="12">
        <v>0</v>
      </c>
      <c r="GT84" s="12">
        <v>0</v>
      </c>
      <c r="GU84" s="13">
        <v>130</v>
      </c>
      <c r="GV84" s="13">
        <v>29</v>
      </c>
      <c r="GW84" s="13">
        <v>2</v>
      </c>
      <c r="GX84" s="13">
        <v>0</v>
      </c>
      <c r="GY84" s="10">
        <v>0</v>
      </c>
      <c r="GZ84" s="10">
        <v>0</v>
      </c>
      <c r="HA84" s="10">
        <v>26</v>
      </c>
      <c r="HB84" s="10">
        <v>0</v>
      </c>
      <c r="HC84" s="10">
        <v>2</v>
      </c>
      <c r="HD84" s="10">
        <v>0</v>
      </c>
      <c r="HE84" s="10">
        <v>0</v>
      </c>
      <c r="HF84" s="10">
        <v>0</v>
      </c>
      <c r="HG84" s="10">
        <v>0</v>
      </c>
      <c r="HH84" s="10">
        <v>0</v>
      </c>
      <c r="HI84" s="10">
        <v>0</v>
      </c>
      <c r="HJ84" s="10">
        <v>0</v>
      </c>
      <c r="HK84" s="10">
        <v>9</v>
      </c>
      <c r="HL84" s="10">
        <v>0</v>
      </c>
      <c r="HM84" s="10">
        <v>0</v>
      </c>
      <c r="HN84" s="81">
        <v>0</v>
      </c>
      <c r="HO84" s="81">
        <v>0</v>
      </c>
      <c r="HP84" s="81">
        <v>0</v>
      </c>
      <c r="HQ84" s="81">
        <v>0</v>
      </c>
      <c r="HR84" s="81">
        <v>3</v>
      </c>
      <c r="HS84" s="12">
        <v>0</v>
      </c>
      <c r="HT84" s="12">
        <v>0</v>
      </c>
      <c r="HU84" s="12">
        <v>0</v>
      </c>
      <c r="HV84" s="12">
        <v>0</v>
      </c>
      <c r="HW84" s="12">
        <v>0</v>
      </c>
      <c r="HX84" s="12">
        <v>0</v>
      </c>
      <c r="HY84" s="12">
        <v>0</v>
      </c>
      <c r="HZ84" s="12">
        <v>0</v>
      </c>
      <c r="IA84" s="12">
        <v>0</v>
      </c>
      <c r="IB84" s="12">
        <v>0</v>
      </c>
      <c r="IC84" s="12">
        <v>0</v>
      </c>
      <c r="ID84" s="12">
        <v>0</v>
      </c>
      <c r="IE84" s="12">
        <v>0</v>
      </c>
      <c r="IF84" s="12">
        <v>0</v>
      </c>
      <c r="IG84" s="12">
        <v>23</v>
      </c>
      <c r="IH84" s="12">
        <v>0</v>
      </c>
      <c r="II84" s="12">
        <v>0</v>
      </c>
      <c r="IJ84" s="12">
        <v>0</v>
      </c>
      <c r="IK84" s="12">
        <v>0</v>
      </c>
      <c r="IL84" s="12">
        <v>0</v>
      </c>
      <c r="IM84" s="12">
        <v>0</v>
      </c>
      <c r="IN84" s="12">
        <v>0</v>
      </c>
      <c r="IO84" s="12">
        <v>0</v>
      </c>
      <c r="IP84" s="12">
        <v>0</v>
      </c>
      <c r="IQ84" s="12">
        <v>1</v>
      </c>
      <c r="IR84" s="12">
        <v>0</v>
      </c>
      <c r="IS84" s="12">
        <v>0</v>
      </c>
      <c r="IT84" s="12">
        <v>0</v>
      </c>
      <c r="IU84" s="12">
        <v>0</v>
      </c>
      <c r="IV84" s="12">
        <v>0</v>
      </c>
      <c r="IW84" s="12">
        <v>0</v>
      </c>
      <c r="IX84" s="11">
        <v>20100</v>
      </c>
      <c r="IY84" s="11">
        <v>9345</v>
      </c>
      <c r="IZ84" s="11">
        <v>10059</v>
      </c>
      <c r="JA84" s="85" t="s">
        <v>602</v>
      </c>
      <c r="JB84" s="85">
        <v>1</v>
      </c>
      <c r="JC84" s="85" t="s">
        <v>361</v>
      </c>
      <c r="JD84" s="12">
        <v>6</v>
      </c>
      <c r="JE84" s="12">
        <v>5</v>
      </c>
      <c r="JF84" s="12">
        <v>6</v>
      </c>
      <c r="JG84" s="12">
        <v>3</v>
      </c>
      <c r="JH84" s="12">
        <v>5</v>
      </c>
      <c r="JI84" s="12">
        <v>4</v>
      </c>
      <c r="JJ84" s="13" t="s">
        <v>620</v>
      </c>
      <c r="JK84" s="13" t="s">
        <v>619</v>
      </c>
      <c r="JL84" s="13" t="s">
        <v>297</v>
      </c>
      <c r="JM84" s="89"/>
      <c r="JN84" s="89"/>
      <c r="JO84" s="89" t="s">
        <v>296</v>
      </c>
      <c r="JP84" s="89"/>
      <c r="JQ84" s="89"/>
      <c r="JR84" s="89" t="s">
        <v>296</v>
      </c>
      <c r="JS84" s="89" t="s">
        <v>619</v>
      </c>
      <c r="JT84" s="89" t="s">
        <v>619</v>
      </c>
      <c r="JU84" s="89" t="s">
        <v>296</v>
      </c>
      <c r="JV84" s="89"/>
      <c r="JW84" s="89"/>
      <c r="JX84" s="89" t="s">
        <v>297</v>
      </c>
      <c r="JY84" s="12" t="s">
        <v>619</v>
      </c>
      <c r="JZ84" s="12" t="s">
        <v>34</v>
      </c>
      <c r="KA84" s="12" t="s">
        <v>34</v>
      </c>
      <c r="KB84" s="12" t="s">
        <v>34</v>
      </c>
      <c r="KC84" s="12" t="s">
        <v>34</v>
      </c>
      <c r="KD84" s="12" t="s">
        <v>34</v>
      </c>
      <c r="KE84" s="12" t="s">
        <v>619</v>
      </c>
      <c r="KF84" s="12"/>
      <c r="KG84" s="12" t="s">
        <v>34</v>
      </c>
      <c r="KH84" s="12" t="s">
        <v>34</v>
      </c>
      <c r="KI84" s="12" t="s">
        <v>619</v>
      </c>
      <c r="KJ84" s="12" t="s">
        <v>34</v>
      </c>
      <c r="KK84" s="12" t="s">
        <v>34</v>
      </c>
      <c r="KL84" s="12" t="s">
        <v>34</v>
      </c>
      <c r="KM84" s="12" t="s">
        <v>34</v>
      </c>
      <c r="KN84" s="12" t="s">
        <v>34</v>
      </c>
      <c r="KO84" s="12" t="s">
        <v>619</v>
      </c>
      <c r="KP84" s="12" t="s">
        <v>34</v>
      </c>
      <c r="KQ84" s="12" t="s">
        <v>619</v>
      </c>
      <c r="KR84" s="12" t="s">
        <v>619</v>
      </c>
      <c r="KS84" s="12" t="s">
        <v>34</v>
      </c>
      <c r="KT84" s="12" t="s">
        <v>619</v>
      </c>
      <c r="KU84" s="12" t="s">
        <v>34</v>
      </c>
      <c r="KV84" s="12" t="s">
        <v>34</v>
      </c>
      <c r="KW84" s="12" t="s">
        <v>34</v>
      </c>
      <c r="KX84" s="12" t="s">
        <v>34</v>
      </c>
      <c r="KY84" s="12" t="s">
        <v>34</v>
      </c>
      <c r="KZ84" s="12" t="s">
        <v>34</v>
      </c>
      <c r="LA84" s="12" t="s">
        <v>34</v>
      </c>
      <c r="LB84" s="12" t="s">
        <v>619</v>
      </c>
      <c r="LC84" s="12" t="s">
        <v>34</v>
      </c>
      <c r="LD84" s="12" t="s">
        <v>619</v>
      </c>
      <c r="LE84" s="12" t="s">
        <v>34</v>
      </c>
      <c r="LF84" s="12" t="s">
        <v>34</v>
      </c>
      <c r="LG84" s="12" t="s">
        <v>34</v>
      </c>
      <c r="LH84" s="12" t="s">
        <v>34</v>
      </c>
      <c r="LI84" s="12" t="s">
        <v>619</v>
      </c>
      <c r="LJ84" s="12" t="s">
        <v>34</v>
      </c>
      <c r="LK84" s="12" t="s">
        <v>34</v>
      </c>
      <c r="LL84" s="13" t="s">
        <v>34</v>
      </c>
      <c r="LM84" s="13" t="s">
        <v>34</v>
      </c>
      <c r="LN84" s="13" t="s">
        <v>34</v>
      </c>
      <c r="LO84" s="13" t="s">
        <v>34</v>
      </c>
      <c r="LP84" s="90" t="s">
        <v>34</v>
      </c>
      <c r="LQ84" s="13" t="s">
        <v>34</v>
      </c>
      <c r="LR84" s="13" t="s">
        <v>34</v>
      </c>
      <c r="LS84" s="13"/>
      <c r="LT84" s="13" t="s">
        <v>34</v>
      </c>
      <c r="LU84" s="13" t="s">
        <v>34</v>
      </c>
      <c r="LV84" s="13" t="s">
        <v>34</v>
      </c>
      <c r="LW84" s="13" t="s">
        <v>34</v>
      </c>
      <c r="LX84" s="13" t="s">
        <v>34</v>
      </c>
      <c r="LY84" s="13" t="s">
        <v>34</v>
      </c>
      <c r="LZ84" s="13" t="s">
        <v>34</v>
      </c>
      <c r="MA84" s="13" t="s">
        <v>34</v>
      </c>
      <c r="MB84" s="13" t="s">
        <v>619</v>
      </c>
      <c r="MC84" s="13" t="s">
        <v>34</v>
      </c>
      <c r="MD84" s="13" t="s">
        <v>619</v>
      </c>
      <c r="ME84" s="13" t="s">
        <v>34</v>
      </c>
      <c r="MF84" s="13" t="s">
        <v>34</v>
      </c>
      <c r="MG84" s="13" t="s">
        <v>34</v>
      </c>
      <c r="MH84" s="13" t="s">
        <v>34</v>
      </c>
      <c r="MI84" s="13" t="s">
        <v>34</v>
      </c>
      <c r="MJ84" s="13" t="s">
        <v>34</v>
      </c>
      <c r="MK84" s="13" t="s">
        <v>34</v>
      </c>
      <c r="ML84" s="13" t="s">
        <v>34</v>
      </c>
      <c r="MM84" s="13" t="s">
        <v>34</v>
      </c>
      <c r="MN84" s="13" t="s">
        <v>34</v>
      </c>
      <c r="MO84" s="13" t="s">
        <v>619</v>
      </c>
      <c r="MP84" s="13" t="s">
        <v>34</v>
      </c>
      <c r="MQ84" s="13" t="s">
        <v>34</v>
      </c>
      <c r="MR84" s="13" t="s">
        <v>34</v>
      </c>
      <c r="MS84" s="13" t="s">
        <v>34</v>
      </c>
      <c r="MT84" s="13" t="s">
        <v>34</v>
      </c>
      <c r="MU84" s="13" t="s">
        <v>34</v>
      </c>
      <c r="MV84" s="13" t="s">
        <v>34</v>
      </c>
      <c r="MW84" s="13" t="s">
        <v>34</v>
      </c>
      <c r="MX84" s="13" t="s">
        <v>34</v>
      </c>
      <c r="MY84" s="28" t="s">
        <v>296</v>
      </c>
      <c r="MZ84" s="28" t="s">
        <v>297</v>
      </c>
      <c r="NA84" s="28" t="s">
        <v>296</v>
      </c>
      <c r="NB84" s="28" t="s">
        <v>296</v>
      </c>
      <c r="NC84" s="28" t="s">
        <v>297</v>
      </c>
      <c r="ND84" s="28" t="s">
        <v>296</v>
      </c>
      <c r="NE84" s="28" t="s">
        <v>296</v>
      </c>
      <c r="NF84" s="28" t="s">
        <v>296</v>
      </c>
      <c r="NG84" s="28" t="s">
        <v>297</v>
      </c>
      <c r="NH84" s="28" t="s">
        <v>297</v>
      </c>
      <c r="NI84" s="177" t="s">
        <v>296</v>
      </c>
      <c r="NJ84" s="177" t="s">
        <v>297</v>
      </c>
      <c r="NK84" s="177" t="s">
        <v>296</v>
      </c>
      <c r="NL84" s="177" t="s">
        <v>297</v>
      </c>
      <c r="NM84" s="177" t="s">
        <v>296</v>
      </c>
      <c r="NN84" s="177" t="s">
        <v>297</v>
      </c>
      <c r="NO84" s="177" t="s">
        <v>297</v>
      </c>
      <c r="NP84" s="177" t="s">
        <v>297</v>
      </c>
      <c r="NQ84" s="177" t="s">
        <v>297</v>
      </c>
      <c r="NR84" s="12" t="s">
        <v>34</v>
      </c>
      <c r="NS84" s="13" t="s">
        <v>34</v>
      </c>
    </row>
    <row r="85" spans="1:383" x14ac:dyDescent="0.25">
      <c r="A85" s="8" t="s">
        <v>210</v>
      </c>
      <c r="B85" s="9" t="s">
        <v>211</v>
      </c>
      <c r="C85" s="9">
        <v>93</v>
      </c>
      <c r="D85" s="9" t="s">
        <v>42</v>
      </c>
      <c r="E85" s="10">
        <v>41</v>
      </c>
      <c r="F85" s="10">
        <v>39</v>
      </c>
      <c r="G85" s="10">
        <v>37</v>
      </c>
      <c r="H85" s="10">
        <v>36</v>
      </c>
      <c r="I85" s="10">
        <v>20</v>
      </c>
      <c r="J85" s="11">
        <v>269</v>
      </c>
      <c r="K85" s="11">
        <v>302</v>
      </c>
      <c r="L85" s="11">
        <v>236</v>
      </c>
      <c r="M85" s="11">
        <v>247</v>
      </c>
      <c r="N85" s="11">
        <v>90</v>
      </c>
      <c r="O85" s="13">
        <v>2111</v>
      </c>
      <c r="P85" s="13">
        <v>2269</v>
      </c>
      <c r="Q85" s="13">
        <v>1373</v>
      </c>
      <c r="R85" s="13">
        <v>1674</v>
      </c>
      <c r="S85" s="13">
        <v>641</v>
      </c>
      <c r="T85" s="12">
        <v>346</v>
      </c>
      <c r="U85" s="12">
        <v>369</v>
      </c>
      <c r="V85" s="12">
        <v>458</v>
      </c>
      <c r="W85" s="12">
        <v>370</v>
      </c>
      <c r="X85" s="12">
        <v>177</v>
      </c>
      <c r="Y85" s="12">
        <v>9.1</v>
      </c>
      <c r="Z85" s="12">
        <v>9.1</v>
      </c>
      <c r="AA85" s="12">
        <v>9.1</v>
      </c>
      <c r="AB85" s="13">
        <v>9.1</v>
      </c>
      <c r="AC85" s="13">
        <v>9.1</v>
      </c>
      <c r="AD85" s="13">
        <v>9.1</v>
      </c>
      <c r="AE85" s="35" t="s">
        <v>258</v>
      </c>
      <c r="AF85" s="35" t="s">
        <v>258</v>
      </c>
      <c r="AG85" s="35" t="s">
        <v>258</v>
      </c>
      <c r="AH85" s="38">
        <v>0.25</v>
      </c>
      <c r="AI85" s="38">
        <v>0.5</v>
      </c>
      <c r="AJ85" s="38">
        <v>0.5</v>
      </c>
      <c r="AK85" s="45" t="s">
        <v>34</v>
      </c>
      <c r="AL85" s="45" t="s">
        <v>34</v>
      </c>
      <c r="AM85" s="45" t="s">
        <v>290</v>
      </c>
      <c r="AN85" s="45" t="s">
        <v>34</v>
      </c>
      <c r="AO85" s="45" t="s">
        <v>34</v>
      </c>
      <c r="AP85" s="45" t="s">
        <v>34</v>
      </c>
      <c r="AQ85" s="53" t="s">
        <v>297</v>
      </c>
      <c r="AR85" s="56">
        <v>72</v>
      </c>
      <c r="AS85" s="57">
        <v>46</v>
      </c>
      <c r="AT85" s="56">
        <v>40</v>
      </c>
      <c r="AU85" s="57">
        <v>4893</v>
      </c>
      <c r="AV85" s="57">
        <v>1788</v>
      </c>
      <c r="AW85" s="57">
        <v>1141</v>
      </c>
      <c r="AX85" s="57">
        <v>12</v>
      </c>
      <c r="AY85" s="57">
        <v>13</v>
      </c>
      <c r="AZ85" s="57">
        <v>6</v>
      </c>
      <c r="BA85" s="57">
        <v>1571</v>
      </c>
      <c r="BB85" s="57">
        <v>2273</v>
      </c>
      <c r="BC85" s="57">
        <v>2694</v>
      </c>
      <c r="BD85" s="57">
        <v>807</v>
      </c>
      <c r="BE85" s="57">
        <v>794</v>
      </c>
      <c r="BF85" s="57">
        <v>925</v>
      </c>
      <c r="BG85" s="57">
        <v>100</v>
      </c>
      <c r="BH85" s="57">
        <v>1737</v>
      </c>
      <c r="BI85" s="57">
        <v>1409</v>
      </c>
      <c r="BJ85" s="57" t="s">
        <v>297</v>
      </c>
      <c r="BK85" s="57">
        <v>3</v>
      </c>
      <c r="BL85" s="57">
        <v>0</v>
      </c>
      <c r="BM85" s="57">
        <v>0</v>
      </c>
      <c r="BN85" s="57">
        <v>50</v>
      </c>
      <c r="BO85" s="57">
        <v>405</v>
      </c>
      <c r="BP85" s="57">
        <v>925</v>
      </c>
      <c r="BQ85" s="76">
        <v>532</v>
      </c>
      <c r="BR85" s="76">
        <v>531</v>
      </c>
      <c r="BS85">
        <v>528</v>
      </c>
      <c r="BT85">
        <v>528</v>
      </c>
      <c r="BU85">
        <v>526</v>
      </c>
      <c r="BV85">
        <v>89209</v>
      </c>
      <c r="BW85">
        <v>89449</v>
      </c>
      <c r="BX85">
        <v>89508</v>
      </c>
      <c r="BY85">
        <v>89254</v>
      </c>
      <c r="BZ85">
        <v>88589</v>
      </c>
      <c r="CA85">
        <v>52</v>
      </c>
      <c r="CB85">
        <v>37</v>
      </c>
      <c r="CC85">
        <v>37</v>
      </c>
      <c r="CD85">
        <v>36</v>
      </c>
      <c r="CE85">
        <v>20</v>
      </c>
      <c r="CF85">
        <v>2457</v>
      </c>
      <c r="CG85">
        <v>2638</v>
      </c>
      <c r="CH85">
        <v>1831</v>
      </c>
      <c r="CI85">
        <v>2044</v>
      </c>
      <c r="CJ85">
        <v>818</v>
      </c>
      <c r="CK85" s="10">
        <v>28.5</v>
      </c>
      <c r="CL85" s="10">
        <v>28.5</v>
      </c>
      <c r="CM85" s="10">
        <v>28.5</v>
      </c>
      <c r="CN85" s="11">
        <v>20</v>
      </c>
      <c r="CO85" s="11">
        <v>20</v>
      </c>
      <c r="CP85" s="11">
        <v>20</v>
      </c>
      <c r="CQ85" s="13">
        <v>27</v>
      </c>
      <c r="CR85" s="13">
        <v>4</v>
      </c>
      <c r="CS85" s="13">
        <v>0</v>
      </c>
      <c r="CT85" s="10">
        <v>0</v>
      </c>
      <c r="CU85" s="10">
        <v>0</v>
      </c>
      <c r="CV85" s="10">
        <v>11</v>
      </c>
      <c r="CW85" s="10">
        <v>8</v>
      </c>
      <c r="CX85" s="10">
        <v>2</v>
      </c>
      <c r="CY85" s="10">
        <v>0</v>
      </c>
      <c r="CZ85" s="10">
        <v>1</v>
      </c>
      <c r="DA85" s="10">
        <v>0</v>
      </c>
      <c r="DB85" s="10">
        <v>1</v>
      </c>
      <c r="DC85" s="10">
        <v>1</v>
      </c>
      <c r="DD85" s="10">
        <v>0</v>
      </c>
      <c r="DE85" s="10">
        <v>0</v>
      </c>
      <c r="DF85" s="10">
        <v>1</v>
      </c>
      <c r="DG85" s="10">
        <v>0</v>
      </c>
      <c r="DH85" s="10">
        <v>0</v>
      </c>
      <c r="DI85" s="81">
        <v>0</v>
      </c>
      <c r="DJ85" s="81">
        <v>2</v>
      </c>
      <c r="DK85" s="81">
        <v>4</v>
      </c>
      <c r="DL85" s="81">
        <v>0</v>
      </c>
      <c r="DM85" s="81">
        <v>5</v>
      </c>
      <c r="DN85" s="12">
        <v>0</v>
      </c>
      <c r="DO85" s="12">
        <v>1</v>
      </c>
      <c r="DP85" s="12">
        <v>6</v>
      </c>
      <c r="DQ85" s="12">
        <v>1</v>
      </c>
      <c r="DR85" s="12">
        <v>1</v>
      </c>
      <c r="DS85" s="12">
        <v>0</v>
      </c>
      <c r="DT85" s="12">
        <v>0</v>
      </c>
      <c r="DU85" s="12">
        <v>1</v>
      </c>
      <c r="DV85" s="12">
        <v>2</v>
      </c>
      <c r="DW85" s="12">
        <v>5</v>
      </c>
      <c r="DX85" s="12">
        <v>1</v>
      </c>
      <c r="DY85" s="12">
        <v>2</v>
      </c>
      <c r="DZ85" s="12">
        <v>0</v>
      </c>
      <c r="EA85" s="12">
        <v>0</v>
      </c>
      <c r="EB85" s="12">
        <v>17</v>
      </c>
      <c r="EC85" s="12">
        <v>0</v>
      </c>
      <c r="ED85" s="12">
        <v>21</v>
      </c>
      <c r="EE85" s="12">
        <v>0</v>
      </c>
      <c r="EF85" s="12">
        <v>3</v>
      </c>
      <c r="EG85" s="12">
        <v>0</v>
      </c>
      <c r="EH85" s="12">
        <v>1</v>
      </c>
      <c r="EI85" s="12">
        <v>0</v>
      </c>
      <c r="EJ85" s="12">
        <v>6</v>
      </c>
      <c r="EK85" s="12">
        <v>0</v>
      </c>
      <c r="EL85" s="12">
        <v>6</v>
      </c>
      <c r="EM85" s="12">
        <v>0</v>
      </c>
      <c r="EN85" s="12">
        <v>1</v>
      </c>
      <c r="EO85" s="12">
        <v>0</v>
      </c>
      <c r="EP85" s="12">
        <v>1</v>
      </c>
      <c r="EQ85" s="12">
        <v>0</v>
      </c>
      <c r="ER85" s="12">
        <v>4</v>
      </c>
      <c r="ES85" s="13">
        <v>29</v>
      </c>
      <c r="ET85" s="13">
        <v>0</v>
      </c>
      <c r="EU85" s="13">
        <v>0</v>
      </c>
      <c r="EV85" s="10">
        <v>0</v>
      </c>
      <c r="EW85" s="10">
        <v>0</v>
      </c>
      <c r="EX85" s="10">
        <v>1</v>
      </c>
      <c r="EY85" s="10">
        <v>10</v>
      </c>
      <c r="EZ85" s="10">
        <v>1</v>
      </c>
      <c r="FA85" s="10">
        <v>0</v>
      </c>
      <c r="FB85" s="10">
        <v>2</v>
      </c>
      <c r="FC85" s="10">
        <v>1</v>
      </c>
      <c r="FD85" s="10">
        <v>0</v>
      </c>
      <c r="FE85" s="10">
        <v>0</v>
      </c>
      <c r="FF85" s="10">
        <v>0</v>
      </c>
      <c r="FG85" s="10">
        <v>1</v>
      </c>
      <c r="FH85" s="10">
        <v>0</v>
      </c>
      <c r="FI85" s="10">
        <v>0</v>
      </c>
      <c r="FJ85" s="10">
        <v>0</v>
      </c>
      <c r="FK85" s="81">
        <v>0</v>
      </c>
      <c r="FL85" s="81">
        <v>1</v>
      </c>
      <c r="FM85" s="81">
        <v>0</v>
      </c>
      <c r="FN85" s="81">
        <v>0</v>
      </c>
      <c r="FO85" s="81">
        <v>3</v>
      </c>
      <c r="FP85" s="12">
        <v>0</v>
      </c>
      <c r="FQ85" s="12">
        <v>0</v>
      </c>
      <c r="FR85" s="12">
        <v>1</v>
      </c>
      <c r="FS85" s="12">
        <v>0</v>
      </c>
      <c r="FT85" s="12">
        <v>0</v>
      </c>
      <c r="FU85" s="12">
        <v>0</v>
      </c>
      <c r="FV85" s="12">
        <v>0</v>
      </c>
      <c r="FW85" s="12">
        <v>0</v>
      </c>
      <c r="FX85" s="12">
        <v>0</v>
      </c>
      <c r="FY85" s="12">
        <v>0</v>
      </c>
      <c r="FZ85" s="12">
        <v>2</v>
      </c>
      <c r="GA85" s="12">
        <v>5</v>
      </c>
      <c r="GB85" s="12">
        <v>0</v>
      </c>
      <c r="GC85" s="12">
        <v>0</v>
      </c>
      <c r="GD85" s="12">
        <v>19</v>
      </c>
      <c r="GE85" s="12">
        <v>0</v>
      </c>
      <c r="GF85" s="12">
        <v>23</v>
      </c>
      <c r="GG85" s="12">
        <v>0</v>
      </c>
      <c r="GH85" s="12">
        <v>1</v>
      </c>
      <c r="GI85" s="12">
        <v>0</v>
      </c>
      <c r="GJ85" s="12">
        <v>0</v>
      </c>
      <c r="GK85" s="12">
        <v>0</v>
      </c>
      <c r="GL85" s="12">
        <v>2</v>
      </c>
      <c r="GM85" s="12">
        <v>0</v>
      </c>
      <c r="GN85" s="12">
        <v>1</v>
      </c>
      <c r="GO85" s="12">
        <v>0</v>
      </c>
      <c r="GP85" s="12">
        <v>0</v>
      </c>
      <c r="GQ85" s="12">
        <v>0</v>
      </c>
      <c r="GR85" s="12">
        <v>1</v>
      </c>
      <c r="GS85" s="12">
        <v>0</v>
      </c>
      <c r="GT85" s="12">
        <v>0</v>
      </c>
      <c r="GU85" s="13">
        <v>46</v>
      </c>
      <c r="GV85" s="13">
        <v>14</v>
      </c>
      <c r="GW85" s="13">
        <v>9</v>
      </c>
      <c r="GX85" s="13">
        <v>0</v>
      </c>
      <c r="GY85" s="10">
        <v>0</v>
      </c>
      <c r="GZ85" s="10">
        <v>0</v>
      </c>
      <c r="HA85" s="10">
        <v>7</v>
      </c>
      <c r="HB85" s="10">
        <v>16</v>
      </c>
      <c r="HC85" s="10">
        <v>0</v>
      </c>
      <c r="HD85" s="10">
        <v>0</v>
      </c>
      <c r="HE85" s="10">
        <v>0</v>
      </c>
      <c r="HF85" s="10">
        <v>0</v>
      </c>
      <c r="HG85" s="10">
        <v>0</v>
      </c>
      <c r="HH85" s="10">
        <v>0</v>
      </c>
      <c r="HI85" s="10">
        <v>0</v>
      </c>
      <c r="HJ85" s="10">
        <v>0</v>
      </c>
      <c r="HK85" s="10">
        <v>0</v>
      </c>
      <c r="HL85" s="10">
        <v>0</v>
      </c>
      <c r="HM85" s="10">
        <v>0</v>
      </c>
      <c r="HN85" s="81">
        <v>0</v>
      </c>
      <c r="HO85" s="81">
        <v>0</v>
      </c>
      <c r="HP85" s="81">
        <v>0</v>
      </c>
      <c r="HQ85" s="81">
        <v>0</v>
      </c>
      <c r="HR85" s="81">
        <v>0</v>
      </c>
      <c r="HS85" s="12">
        <v>0</v>
      </c>
      <c r="HT85" s="12">
        <v>0</v>
      </c>
      <c r="HU85" s="12">
        <v>2</v>
      </c>
      <c r="HV85" s="12">
        <v>0</v>
      </c>
      <c r="HW85" s="12">
        <v>0</v>
      </c>
      <c r="HX85" s="12">
        <v>1</v>
      </c>
      <c r="HY85" s="12">
        <v>0</v>
      </c>
      <c r="HZ85" s="12">
        <v>0</v>
      </c>
      <c r="IA85" s="12">
        <v>0</v>
      </c>
      <c r="IB85" s="12">
        <v>1</v>
      </c>
      <c r="IC85" s="12">
        <v>3</v>
      </c>
      <c r="ID85" s="12">
        <v>1</v>
      </c>
      <c r="IE85" s="12">
        <v>0</v>
      </c>
      <c r="IF85" s="12">
        <v>0</v>
      </c>
      <c r="IG85" s="12">
        <v>1</v>
      </c>
      <c r="IH85" s="12">
        <v>0</v>
      </c>
      <c r="II85" s="12">
        <v>0</v>
      </c>
      <c r="IJ85" s="12">
        <v>0</v>
      </c>
      <c r="IK85" s="12">
        <v>0</v>
      </c>
      <c r="IL85" s="12">
        <v>0</v>
      </c>
      <c r="IM85" s="12">
        <v>0</v>
      </c>
      <c r="IN85" s="12">
        <v>0</v>
      </c>
      <c r="IO85" s="12">
        <v>2</v>
      </c>
      <c r="IP85" s="12">
        <v>0</v>
      </c>
      <c r="IQ85" s="12">
        <v>2</v>
      </c>
      <c r="IR85" s="12">
        <v>0</v>
      </c>
      <c r="IS85" s="12">
        <v>1</v>
      </c>
      <c r="IT85" s="12">
        <v>0</v>
      </c>
      <c r="IU85" s="12">
        <v>2</v>
      </c>
      <c r="IV85" s="12">
        <v>1</v>
      </c>
      <c r="IW85" s="12">
        <v>0</v>
      </c>
      <c r="IX85" s="11">
        <v>3000</v>
      </c>
      <c r="IY85" s="11">
        <v>3000</v>
      </c>
      <c r="IZ85" s="11">
        <v>3000</v>
      </c>
      <c r="JA85" s="85" t="s">
        <v>602</v>
      </c>
      <c r="JB85" s="85">
        <v>1</v>
      </c>
      <c r="JC85" s="85" t="s">
        <v>361</v>
      </c>
      <c r="JD85" s="12">
        <v>18</v>
      </c>
      <c r="JE85" s="12">
        <v>5</v>
      </c>
      <c r="JF85" s="12">
        <v>17</v>
      </c>
      <c r="JG85" s="12">
        <v>4</v>
      </c>
      <c r="JH85" s="12">
        <v>19</v>
      </c>
      <c r="JI85" s="12">
        <v>2</v>
      </c>
      <c r="JJ85" s="13" t="s">
        <v>619</v>
      </c>
      <c r="JK85" s="13" t="s">
        <v>619</v>
      </c>
      <c r="JL85" s="13" t="s">
        <v>296</v>
      </c>
      <c r="JM85" s="89"/>
      <c r="JN85" s="89"/>
      <c r="JO85" s="89" t="s">
        <v>296</v>
      </c>
      <c r="JP85" s="89"/>
      <c r="JQ85" s="89"/>
      <c r="JR85" s="89" t="s">
        <v>296</v>
      </c>
      <c r="JS85" s="89" t="s">
        <v>619</v>
      </c>
      <c r="JT85" s="89" t="s">
        <v>619</v>
      </c>
      <c r="JU85" s="89" t="s">
        <v>296</v>
      </c>
      <c r="JV85" s="89"/>
      <c r="JW85" s="89"/>
      <c r="JX85" s="89" t="s">
        <v>297</v>
      </c>
      <c r="JY85" s="12" t="s">
        <v>34</v>
      </c>
      <c r="JZ85" s="12" t="s">
        <v>34</v>
      </c>
      <c r="KA85" s="12" t="s">
        <v>34</v>
      </c>
      <c r="KB85" s="12" t="s">
        <v>619</v>
      </c>
      <c r="KC85" s="12" t="s">
        <v>34</v>
      </c>
      <c r="KD85" s="12" t="s">
        <v>34</v>
      </c>
      <c r="KE85" s="12" t="s">
        <v>34</v>
      </c>
      <c r="KF85" s="12"/>
      <c r="KG85" s="12" t="s">
        <v>619</v>
      </c>
      <c r="KH85" s="12" t="s">
        <v>34</v>
      </c>
      <c r="KI85" s="12" t="s">
        <v>34</v>
      </c>
      <c r="KJ85" s="12" t="s">
        <v>34</v>
      </c>
      <c r="KK85" s="12" t="s">
        <v>34</v>
      </c>
      <c r="KL85" s="12" t="s">
        <v>34</v>
      </c>
      <c r="KM85" s="12" t="s">
        <v>34</v>
      </c>
      <c r="KN85" s="12" t="s">
        <v>34</v>
      </c>
      <c r="KO85" s="12" t="s">
        <v>619</v>
      </c>
      <c r="KP85" s="12" t="s">
        <v>34</v>
      </c>
      <c r="KQ85" s="12" t="s">
        <v>619</v>
      </c>
      <c r="KR85" s="12" t="s">
        <v>34</v>
      </c>
      <c r="KS85" s="12" t="s">
        <v>34</v>
      </c>
      <c r="KT85" s="12" t="s">
        <v>34</v>
      </c>
      <c r="KU85" s="12" t="s">
        <v>34</v>
      </c>
      <c r="KV85" s="12" t="s">
        <v>34</v>
      </c>
      <c r="KW85" s="12" t="s">
        <v>34</v>
      </c>
      <c r="KX85" s="12" t="s">
        <v>34</v>
      </c>
      <c r="KY85" s="12" t="s">
        <v>619</v>
      </c>
      <c r="KZ85" s="12" t="s">
        <v>619</v>
      </c>
      <c r="LA85" s="12" t="s">
        <v>34</v>
      </c>
      <c r="LB85" s="12" t="s">
        <v>619</v>
      </c>
      <c r="LC85" s="12" t="s">
        <v>34</v>
      </c>
      <c r="LD85" s="12" t="s">
        <v>34</v>
      </c>
      <c r="LE85" s="12" t="s">
        <v>34</v>
      </c>
      <c r="LF85" s="12" t="s">
        <v>34</v>
      </c>
      <c r="LG85" s="12" t="s">
        <v>34</v>
      </c>
      <c r="LH85" s="12" t="s">
        <v>34</v>
      </c>
      <c r="LI85" s="12" t="s">
        <v>619</v>
      </c>
      <c r="LJ85" s="12" t="s">
        <v>34</v>
      </c>
      <c r="LK85" s="12" t="s">
        <v>34</v>
      </c>
      <c r="LL85" s="13" t="s">
        <v>34</v>
      </c>
      <c r="LM85" s="13" t="s">
        <v>34</v>
      </c>
      <c r="LN85" s="13" t="s">
        <v>34</v>
      </c>
      <c r="LO85" s="13" t="s">
        <v>34</v>
      </c>
      <c r="LP85" s="90" t="s">
        <v>34</v>
      </c>
      <c r="LQ85" s="13" t="s">
        <v>34</v>
      </c>
      <c r="LR85" s="13" t="s">
        <v>34</v>
      </c>
      <c r="LS85" s="13"/>
      <c r="LT85" s="13" t="s">
        <v>34</v>
      </c>
      <c r="LU85" s="13" t="s">
        <v>34</v>
      </c>
      <c r="LV85" s="13" t="s">
        <v>34</v>
      </c>
      <c r="LW85" s="13" t="s">
        <v>34</v>
      </c>
      <c r="LX85" s="13" t="s">
        <v>34</v>
      </c>
      <c r="LY85" s="13" t="s">
        <v>34</v>
      </c>
      <c r="LZ85" s="13" t="s">
        <v>34</v>
      </c>
      <c r="MA85" s="13" t="s">
        <v>619</v>
      </c>
      <c r="MB85" s="13" t="s">
        <v>619</v>
      </c>
      <c r="MC85" s="13" t="s">
        <v>34</v>
      </c>
      <c r="MD85" s="13" t="s">
        <v>619</v>
      </c>
      <c r="ME85" s="13" t="s">
        <v>619</v>
      </c>
      <c r="MF85" s="13" t="s">
        <v>34</v>
      </c>
      <c r="MG85" s="13" t="s">
        <v>34</v>
      </c>
      <c r="MH85" s="13" t="s">
        <v>34</v>
      </c>
      <c r="MI85" s="13" t="s">
        <v>34</v>
      </c>
      <c r="MJ85" s="13" t="s">
        <v>34</v>
      </c>
      <c r="MK85" s="13" t="s">
        <v>34</v>
      </c>
      <c r="ML85" s="13" t="s">
        <v>619</v>
      </c>
      <c r="MM85" s="13" t="s">
        <v>34</v>
      </c>
      <c r="MN85" s="13" t="s">
        <v>34</v>
      </c>
      <c r="MO85" s="13" t="s">
        <v>619</v>
      </c>
      <c r="MP85" s="13" t="s">
        <v>619</v>
      </c>
      <c r="MQ85" s="13" t="s">
        <v>619</v>
      </c>
      <c r="MR85" s="13" t="s">
        <v>34</v>
      </c>
      <c r="MS85" s="13" t="s">
        <v>34</v>
      </c>
      <c r="MT85" s="13" t="s">
        <v>34</v>
      </c>
      <c r="MU85" s="13" t="s">
        <v>34</v>
      </c>
      <c r="MV85" s="13" t="s">
        <v>619</v>
      </c>
      <c r="MW85" s="13" t="s">
        <v>34</v>
      </c>
      <c r="MX85" s="13" t="s">
        <v>34</v>
      </c>
      <c r="MY85" s="28" t="s">
        <v>296</v>
      </c>
      <c r="MZ85" s="28" t="s">
        <v>297</v>
      </c>
      <c r="NA85" s="28" t="s">
        <v>296</v>
      </c>
      <c r="NB85" s="28" t="s">
        <v>296</v>
      </c>
      <c r="NC85" s="28" t="s">
        <v>296</v>
      </c>
      <c r="ND85" s="28" t="s">
        <v>297</v>
      </c>
      <c r="NE85" s="28" t="s">
        <v>296</v>
      </c>
      <c r="NF85" s="28" t="s">
        <v>296</v>
      </c>
      <c r="NG85" s="28" t="s">
        <v>297</v>
      </c>
      <c r="NH85" s="28" t="s">
        <v>297</v>
      </c>
      <c r="NI85" s="177" t="s">
        <v>296</v>
      </c>
      <c r="NJ85" s="177" t="s">
        <v>297</v>
      </c>
      <c r="NK85" s="177" t="s">
        <v>297</v>
      </c>
      <c r="NL85" s="177" t="s">
        <v>296</v>
      </c>
      <c r="NM85" s="177" t="s">
        <v>296</v>
      </c>
      <c r="NN85" s="177" t="s">
        <v>296</v>
      </c>
      <c r="NO85" s="177" t="s">
        <v>296</v>
      </c>
      <c r="NP85" s="177" t="s">
        <v>297</v>
      </c>
      <c r="NQ85" s="177" t="s">
        <v>297</v>
      </c>
      <c r="NR85" s="12" t="s">
        <v>34</v>
      </c>
      <c r="NS85" s="13" t="s">
        <v>34</v>
      </c>
    </row>
    <row r="86" spans="1:383" x14ac:dyDescent="0.25">
      <c r="A86" s="8" t="s">
        <v>212</v>
      </c>
      <c r="B86" s="9" t="s">
        <v>213</v>
      </c>
      <c r="C86" s="9">
        <v>93</v>
      </c>
      <c r="D86" s="9" t="s">
        <v>42</v>
      </c>
      <c r="E86" s="10">
        <v>57</v>
      </c>
      <c r="F86" s="10">
        <v>56</v>
      </c>
      <c r="G86" s="10">
        <v>46</v>
      </c>
      <c r="H86" s="10">
        <v>45</v>
      </c>
      <c r="I86" s="10">
        <v>32</v>
      </c>
      <c r="J86" s="11">
        <v>204</v>
      </c>
      <c r="K86" s="11">
        <v>207</v>
      </c>
      <c r="L86" s="11">
        <v>157</v>
      </c>
      <c r="M86" s="11">
        <v>129</v>
      </c>
      <c r="N86" s="11">
        <v>78</v>
      </c>
      <c r="O86" s="13">
        <v>2472</v>
      </c>
      <c r="P86" s="13">
        <v>2489</v>
      </c>
      <c r="Q86" s="13">
        <v>2069</v>
      </c>
      <c r="R86" s="13">
        <v>1882</v>
      </c>
      <c r="S86" s="13">
        <v>1268</v>
      </c>
      <c r="T86" s="12">
        <v>511</v>
      </c>
      <c r="U86" s="12">
        <v>759</v>
      </c>
      <c r="V86" s="12">
        <v>444</v>
      </c>
      <c r="W86" s="12">
        <v>396</v>
      </c>
      <c r="X86" s="12">
        <v>244</v>
      </c>
      <c r="Y86" s="12">
        <v>10</v>
      </c>
      <c r="Z86" s="12">
        <v>10</v>
      </c>
      <c r="AA86" s="12">
        <v>7.5</v>
      </c>
      <c r="AB86" s="13">
        <v>10</v>
      </c>
      <c r="AC86" s="13">
        <v>10</v>
      </c>
      <c r="AD86" s="13">
        <v>7.5</v>
      </c>
      <c r="AE86" s="35" t="s">
        <v>259</v>
      </c>
      <c r="AF86" s="35" t="s">
        <v>259</v>
      </c>
      <c r="AG86" s="35" t="s">
        <v>259</v>
      </c>
      <c r="AH86" s="38">
        <v>1</v>
      </c>
      <c r="AI86" s="38">
        <v>1</v>
      </c>
      <c r="AJ86" s="38">
        <v>1</v>
      </c>
      <c r="AK86" s="45" t="s">
        <v>288</v>
      </c>
      <c r="AL86" s="45" t="s">
        <v>34</v>
      </c>
      <c r="AM86" s="45" t="s">
        <v>34</v>
      </c>
      <c r="AN86" s="45" t="s">
        <v>293</v>
      </c>
      <c r="AO86" s="45" t="s">
        <v>34</v>
      </c>
      <c r="AP86" s="45" t="s">
        <v>34</v>
      </c>
      <c r="AQ86" s="53" t="s">
        <v>297</v>
      </c>
      <c r="AR86" s="56">
        <v>73</v>
      </c>
      <c r="AS86" s="57">
        <v>39</v>
      </c>
      <c r="AT86" s="56">
        <v>66</v>
      </c>
      <c r="AU86" s="57">
        <v>8520</v>
      </c>
      <c r="AV86" s="57">
        <v>2853</v>
      </c>
      <c r="AW86" s="57">
        <v>4589</v>
      </c>
      <c r="AX86" s="57">
        <v>14</v>
      </c>
      <c r="AY86" s="57">
        <v>17</v>
      </c>
      <c r="AZ86" s="57">
        <v>13</v>
      </c>
      <c r="BA86" s="57">
        <v>1533</v>
      </c>
      <c r="BB86" s="57">
        <v>2162</v>
      </c>
      <c r="BC86" s="57">
        <v>4971</v>
      </c>
      <c r="BD86" s="57">
        <v>819</v>
      </c>
      <c r="BE86" s="57">
        <v>978</v>
      </c>
      <c r="BF86" s="57">
        <v>1316</v>
      </c>
      <c r="BG86" s="57">
        <v>1024</v>
      </c>
      <c r="BH86" s="57">
        <v>2248</v>
      </c>
      <c r="BI86" s="57">
        <v>1936</v>
      </c>
      <c r="BJ86" s="57" t="s">
        <v>297</v>
      </c>
      <c r="BK86" s="57">
        <v>2</v>
      </c>
      <c r="BL86" s="57">
        <v>1</v>
      </c>
      <c r="BM86" s="57">
        <v>0</v>
      </c>
      <c r="BN86" s="57">
        <v>116</v>
      </c>
      <c r="BO86" s="57">
        <v>350</v>
      </c>
      <c r="BP86" s="57">
        <v>293</v>
      </c>
      <c r="BQ86" s="76">
        <v>361</v>
      </c>
      <c r="BR86" s="76">
        <v>361</v>
      </c>
      <c r="BS86">
        <v>361</v>
      </c>
      <c r="BT86">
        <v>361</v>
      </c>
      <c r="BU86">
        <v>360</v>
      </c>
      <c r="BV86">
        <v>51815</v>
      </c>
      <c r="BW86">
        <v>51986</v>
      </c>
      <c r="BX86">
        <v>52067</v>
      </c>
      <c r="BY86">
        <v>51922</v>
      </c>
      <c r="BZ86">
        <v>51308</v>
      </c>
      <c r="CA86">
        <v>56</v>
      </c>
      <c r="CB86">
        <v>58</v>
      </c>
      <c r="CC86">
        <v>41</v>
      </c>
      <c r="CD86">
        <v>46</v>
      </c>
      <c r="CE86">
        <v>39</v>
      </c>
      <c r="CF86">
        <v>2983</v>
      </c>
      <c r="CG86">
        <v>3248</v>
      </c>
      <c r="CH86">
        <v>2513</v>
      </c>
      <c r="CI86">
        <v>2278</v>
      </c>
      <c r="CJ86">
        <v>1512</v>
      </c>
      <c r="CK86" s="10">
        <v>45</v>
      </c>
      <c r="CL86" s="10">
        <v>45</v>
      </c>
      <c r="CM86" s="10">
        <v>45</v>
      </c>
      <c r="CN86" s="11">
        <v>22</v>
      </c>
      <c r="CO86" s="11">
        <v>22</v>
      </c>
      <c r="CP86" s="11">
        <v>22</v>
      </c>
      <c r="CQ86" s="13">
        <v>20</v>
      </c>
      <c r="CR86" s="13">
        <v>10</v>
      </c>
      <c r="CS86" s="13">
        <v>0</v>
      </c>
      <c r="CT86" s="10">
        <v>0</v>
      </c>
      <c r="CU86" s="10">
        <v>1</v>
      </c>
      <c r="CV86" s="10">
        <v>10</v>
      </c>
      <c r="CW86" s="10">
        <v>5</v>
      </c>
      <c r="CX86" s="10">
        <v>5</v>
      </c>
      <c r="CY86" s="10">
        <v>1</v>
      </c>
      <c r="CZ86" s="10">
        <v>0</v>
      </c>
      <c r="DA86" s="10">
        <v>0</v>
      </c>
      <c r="DB86" s="10">
        <v>3</v>
      </c>
      <c r="DC86" s="10">
        <v>1</v>
      </c>
      <c r="DD86" s="10">
        <v>0</v>
      </c>
      <c r="DE86" s="10">
        <v>0</v>
      </c>
      <c r="DF86" s="10">
        <v>0</v>
      </c>
      <c r="DG86" s="10">
        <v>0</v>
      </c>
      <c r="DH86" s="10">
        <v>0</v>
      </c>
      <c r="DI86" s="81">
        <v>4</v>
      </c>
      <c r="DJ86" s="81">
        <v>2</v>
      </c>
      <c r="DK86" s="81">
        <v>4</v>
      </c>
      <c r="DL86" s="81">
        <v>0</v>
      </c>
      <c r="DM86" s="81">
        <v>2</v>
      </c>
      <c r="DN86" s="12">
        <v>3</v>
      </c>
      <c r="DO86" s="12">
        <v>0</v>
      </c>
      <c r="DP86" s="12">
        <v>6</v>
      </c>
      <c r="DQ86" s="12">
        <v>5</v>
      </c>
      <c r="DR86" s="12">
        <v>1</v>
      </c>
      <c r="DS86" s="12">
        <v>0</v>
      </c>
      <c r="DT86" s="12">
        <v>1</v>
      </c>
      <c r="DU86" s="12">
        <v>0</v>
      </c>
      <c r="DV86" s="12">
        <v>9</v>
      </c>
      <c r="DW86" s="12">
        <v>3</v>
      </c>
      <c r="DX86" s="12">
        <v>1</v>
      </c>
      <c r="DY86" s="12">
        <v>8</v>
      </c>
      <c r="DZ86" s="12">
        <v>5</v>
      </c>
      <c r="EA86" s="12">
        <v>0</v>
      </c>
      <c r="EB86" s="12">
        <v>13</v>
      </c>
      <c r="EC86" s="12">
        <v>0</v>
      </c>
      <c r="ED86" s="12">
        <v>6</v>
      </c>
      <c r="EE86" s="12">
        <v>2</v>
      </c>
      <c r="EF86" s="12">
        <v>3</v>
      </c>
      <c r="EG86" s="12">
        <v>0</v>
      </c>
      <c r="EH86" s="12">
        <v>0</v>
      </c>
      <c r="EI86" s="12">
        <v>0</v>
      </c>
      <c r="EJ86" s="12">
        <v>13</v>
      </c>
      <c r="EK86" s="12">
        <v>0</v>
      </c>
      <c r="EL86" s="12">
        <v>5</v>
      </c>
      <c r="EM86" s="12">
        <v>3</v>
      </c>
      <c r="EN86" s="12">
        <v>2</v>
      </c>
      <c r="EO86" s="12">
        <v>1</v>
      </c>
      <c r="EP86" s="12">
        <v>1</v>
      </c>
      <c r="EQ86" s="12">
        <v>2</v>
      </c>
      <c r="ER86" s="12">
        <v>1</v>
      </c>
      <c r="ES86" s="13">
        <v>6</v>
      </c>
      <c r="ET86" s="13">
        <v>1</v>
      </c>
      <c r="EU86" s="13">
        <v>0</v>
      </c>
      <c r="EV86" s="10">
        <v>0</v>
      </c>
      <c r="EW86" s="10">
        <v>1</v>
      </c>
      <c r="EX86" s="10">
        <v>3</v>
      </c>
      <c r="EY86" s="10">
        <v>2</v>
      </c>
      <c r="EZ86" s="10">
        <v>4</v>
      </c>
      <c r="FA86" s="10">
        <v>0</v>
      </c>
      <c r="FB86" s="10">
        <v>1</v>
      </c>
      <c r="FC86" s="10">
        <v>0</v>
      </c>
      <c r="FD86" s="10">
        <v>0</v>
      </c>
      <c r="FE86" s="10">
        <v>0</v>
      </c>
      <c r="FF86" s="10">
        <v>0</v>
      </c>
      <c r="FG86" s="10">
        <v>0</v>
      </c>
      <c r="FH86" s="10">
        <v>0</v>
      </c>
      <c r="FI86" s="10">
        <v>0</v>
      </c>
      <c r="FJ86" s="10">
        <v>2</v>
      </c>
      <c r="FK86" s="81">
        <v>5</v>
      </c>
      <c r="FL86" s="81">
        <v>6</v>
      </c>
      <c r="FM86" s="81">
        <v>4</v>
      </c>
      <c r="FN86" s="81">
        <v>0</v>
      </c>
      <c r="FO86" s="81">
        <v>5</v>
      </c>
      <c r="FP86" s="12">
        <v>1</v>
      </c>
      <c r="FQ86" s="12">
        <v>0</v>
      </c>
      <c r="FR86" s="12">
        <v>0</v>
      </c>
      <c r="FS86" s="12">
        <v>0</v>
      </c>
      <c r="FT86" s="12">
        <v>0</v>
      </c>
      <c r="FU86" s="12">
        <v>0</v>
      </c>
      <c r="FV86" s="12">
        <v>1</v>
      </c>
      <c r="FW86" s="12">
        <v>0</v>
      </c>
      <c r="FX86" s="12">
        <v>2</v>
      </c>
      <c r="FY86" s="12">
        <v>4</v>
      </c>
      <c r="FZ86" s="12">
        <v>0</v>
      </c>
      <c r="GA86" s="12">
        <v>2</v>
      </c>
      <c r="GB86" s="12">
        <v>3</v>
      </c>
      <c r="GC86" s="12">
        <v>0</v>
      </c>
      <c r="GD86" s="12">
        <v>4</v>
      </c>
      <c r="GE86" s="12">
        <v>0</v>
      </c>
      <c r="GF86" s="12">
        <v>6</v>
      </c>
      <c r="GG86" s="12">
        <v>4</v>
      </c>
      <c r="GH86" s="12">
        <v>3</v>
      </c>
      <c r="GI86" s="12">
        <v>0</v>
      </c>
      <c r="GJ86" s="12">
        <v>0</v>
      </c>
      <c r="GK86" s="12">
        <v>0</v>
      </c>
      <c r="GL86" s="12">
        <v>3</v>
      </c>
      <c r="GM86" s="12">
        <v>0</v>
      </c>
      <c r="GN86" s="12">
        <v>1</v>
      </c>
      <c r="GO86" s="12">
        <v>6</v>
      </c>
      <c r="GP86" s="12">
        <v>1</v>
      </c>
      <c r="GQ86" s="12">
        <v>2</v>
      </c>
      <c r="GR86" s="12">
        <v>1</v>
      </c>
      <c r="GS86" s="12">
        <v>1</v>
      </c>
      <c r="GT86" s="12">
        <v>0</v>
      </c>
      <c r="GU86" s="13">
        <v>39</v>
      </c>
      <c r="GV86" s="13">
        <v>11</v>
      </c>
      <c r="GW86" s="13">
        <v>0</v>
      </c>
      <c r="GX86" s="13">
        <v>0</v>
      </c>
      <c r="GY86" s="10">
        <v>0</v>
      </c>
      <c r="GZ86" s="10">
        <v>0</v>
      </c>
      <c r="HA86" s="10">
        <v>23</v>
      </c>
      <c r="HB86" s="10">
        <v>5</v>
      </c>
      <c r="HC86" s="10">
        <v>9</v>
      </c>
      <c r="HD86" s="10">
        <v>0</v>
      </c>
      <c r="HE86" s="10">
        <v>0</v>
      </c>
      <c r="HF86" s="10">
        <v>0</v>
      </c>
      <c r="HG86" s="10">
        <v>0</v>
      </c>
      <c r="HH86" s="10">
        <v>0</v>
      </c>
      <c r="HI86" s="10">
        <v>0</v>
      </c>
      <c r="HJ86" s="10">
        <v>0</v>
      </c>
      <c r="HK86" s="10">
        <v>0</v>
      </c>
      <c r="HL86" s="10">
        <v>0</v>
      </c>
      <c r="HM86" s="10">
        <v>0</v>
      </c>
      <c r="HN86" s="81">
        <v>1</v>
      </c>
      <c r="HO86" s="81">
        <v>2</v>
      </c>
      <c r="HP86" s="81">
        <v>5</v>
      </c>
      <c r="HQ86" s="81">
        <v>0</v>
      </c>
      <c r="HR86" s="81">
        <v>0</v>
      </c>
      <c r="HS86" s="12">
        <v>0</v>
      </c>
      <c r="HT86" s="12">
        <v>0</v>
      </c>
      <c r="HU86" s="12">
        <v>3</v>
      </c>
      <c r="HV86" s="12">
        <v>0</v>
      </c>
      <c r="HW86" s="12">
        <v>0</v>
      </c>
      <c r="HX86" s="12">
        <v>0</v>
      </c>
      <c r="HY86" s="12">
        <v>0</v>
      </c>
      <c r="HZ86" s="12">
        <v>0</v>
      </c>
      <c r="IA86" s="12">
        <v>0</v>
      </c>
      <c r="IB86" s="12">
        <v>1</v>
      </c>
      <c r="IC86" s="12">
        <v>1</v>
      </c>
      <c r="ID86" s="12">
        <v>3</v>
      </c>
      <c r="IE86" s="12">
        <v>2</v>
      </c>
      <c r="IF86" s="12">
        <v>0</v>
      </c>
      <c r="IG86" s="12">
        <v>2</v>
      </c>
      <c r="IH86" s="12">
        <v>0</v>
      </c>
      <c r="II86" s="12">
        <v>0</v>
      </c>
      <c r="IJ86" s="12">
        <v>0</v>
      </c>
      <c r="IK86" s="12">
        <v>22</v>
      </c>
      <c r="IL86" s="12">
        <v>0</v>
      </c>
      <c r="IM86" s="12">
        <v>0</v>
      </c>
      <c r="IN86" s="12">
        <v>0</v>
      </c>
      <c r="IO86" s="12">
        <v>10</v>
      </c>
      <c r="IP86" s="12">
        <v>0</v>
      </c>
      <c r="IQ86" s="12">
        <v>2</v>
      </c>
      <c r="IR86" s="12">
        <v>12</v>
      </c>
      <c r="IS86" s="12">
        <v>0</v>
      </c>
      <c r="IT86" s="12">
        <v>12</v>
      </c>
      <c r="IU86" s="12">
        <v>8</v>
      </c>
      <c r="IV86" s="12">
        <v>6</v>
      </c>
      <c r="IW86" s="12">
        <v>0</v>
      </c>
      <c r="IX86" s="11">
        <v>18000</v>
      </c>
      <c r="IY86" s="11">
        <v>20000</v>
      </c>
      <c r="IZ86" s="11">
        <v>20000</v>
      </c>
      <c r="JA86" s="85" t="s">
        <v>602</v>
      </c>
      <c r="JB86" s="85">
        <v>0</v>
      </c>
      <c r="JC86" s="85">
        <v>0</v>
      </c>
      <c r="JD86" s="12">
        <v>12</v>
      </c>
      <c r="JE86" s="12">
        <v>5</v>
      </c>
      <c r="JF86" s="12">
        <v>10</v>
      </c>
      <c r="JG86" s="12">
        <v>4</v>
      </c>
      <c r="JH86" s="12">
        <v>10</v>
      </c>
      <c r="JI86" s="12">
        <v>3</v>
      </c>
      <c r="JJ86" s="13" t="s">
        <v>619</v>
      </c>
      <c r="JK86" s="13" t="s">
        <v>619</v>
      </c>
      <c r="JL86" s="13" t="s">
        <v>296</v>
      </c>
      <c r="JM86" s="89"/>
      <c r="JN86" s="89"/>
      <c r="JO86" s="89" t="s">
        <v>296</v>
      </c>
      <c r="JP86" s="89"/>
      <c r="JQ86" s="89"/>
      <c r="JR86" s="89" t="s">
        <v>296</v>
      </c>
      <c r="JS86" s="89" t="s">
        <v>619</v>
      </c>
      <c r="JT86" s="89" t="s">
        <v>619</v>
      </c>
      <c r="JU86" s="89" t="s">
        <v>296</v>
      </c>
      <c r="JV86" s="89"/>
      <c r="JW86" s="89"/>
      <c r="JX86" s="89" t="s">
        <v>297</v>
      </c>
      <c r="JY86" s="12" t="s">
        <v>34</v>
      </c>
      <c r="JZ86" s="12" t="s">
        <v>34</v>
      </c>
      <c r="KA86" s="12" t="s">
        <v>34</v>
      </c>
      <c r="KB86" s="12" t="s">
        <v>34</v>
      </c>
      <c r="KC86" s="12" t="s">
        <v>34</v>
      </c>
      <c r="KD86" s="12" t="s">
        <v>619</v>
      </c>
      <c r="KE86" s="12" t="s">
        <v>619</v>
      </c>
      <c r="KF86" s="12"/>
      <c r="KG86" s="12" t="s">
        <v>619</v>
      </c>
      <c r="KH86" s="12" t="s">
        <v>34</v>
      </c>
      <c r="KI86" s="12" t="s">
        <v>619</v>
      </c>
      <c r="KJ86" s="12" t="s">
        <v>619</v>
      </c>
      <c r="KK86" s="12" t="s">
        <v>34</v>
      </c>
      <c r="KL86" s="12" t="s">
        <v>34</v>
      </c>
      <c r="KM86" s="12" t="s">
        <v>34</v>
      </c>
      <c r="KN86" s="12" t="s">
        <v>34</v>
      </c>
      <c r="KO86" s="12" t="s">
        <v>34</v>
      </c>
      <c r="KP86" s="12" t="s">
        <v>34</v>
      </c>
      <c r="KQ86" s="12" t="s">
        <v>34</v>
      </c>
      <c r="KR86" s="12" t="s">
        <v>619</v>
      </c>
      <c r="KS86" s="12" t="s">
        <v>34</v>
      </c>
      <c r="KT86" s="12" t="s">
        <v>34</v>
      </c>
      <c r="KU86" s="12" t="s">
        <v>34</v>
      </c>
      <c r="KV86" s="12" t="s">
        <v>34</v>
      </c>
      <c r="KW86" s="12" t="s">
        <v>34</v>
      </c>
      <c r="KX86" s="12" t="s">
        <v>34</v>
      </c>
      <c r="KY86" s="12" t="s">
        <v>619</v>
      </c>
      <c r="KZ86" s="12" t="s">
        <v>619</v>
      </c>
      <c r="LA86" s="12" t="s">
        <v>34</v>
      </c>
      <c r="LB86" s="12" t="s">
        <v>619</v>
      </c>
      <c r="LC86" s="12" t="s">
        <v>619</v>
      </c>
      <c r="LD86" s="12" t="s">
        <v>34</v>
      </c>
      <c r="LE86" s="12" t="s">
        <v>619</v>
      </c>
      <c r="LF86" s="12" t="s">
        <v>34</v>
      </c>
      <c r="LG86" s="12" t="s">
        <v>34</v>
      </c>
      <c r="LH86" s="12" t="s">
        <v>34</v>
      </c>
      <c r="LI86" s="12" t="s">
        <v>619</v>
      </c>
      <c r="LJ86" s="12" t="s">
        <v>619</v>
      </c>
      <c r="LK86" s="12" t="s">
        <v>619</v>
      </c>
      <c r="LL86" s="13" t="s">
        <v>34</v>
      </c>
      <c r="LM86" s="13" t="s">
        <v>34</v>
      </c>
      <c r="LN86" s="13" t="s">
        <v>34</v>
      </c>
      <c r="LO86" s="13" t="s">
        <v>34</v>
      </c>
      <c r="LP86" s="90" t="s">
        <v>34</v>
      </c>
      <c r="LQ86" s="13" t="s">
        <v>34</v>
      </c>
      <c r="LR86" s="13" t="s">
        <v>34</v>
      </c>
      <c r="LS86" s="13"/>
      <c r="LT86" s="13" t="s">
        <v>619</v>
      </c>
      <c r="LU86" s="13" t="s">
        <v>34</v>
      </c>
      <c r="LV86" s="13" t="s">
        <v>619</v>
      </c>
      <c r="LW86" s="13" t="s">
        <v>34</v>
      </c>
      <c r="LX86" s="13" t="s">
        <v>34</v>
      </c>
      <c r="LY86" s="13" t="s">
        <v>34</v>
      </c>
      <c r="LZ86" s="13" t="s">
        <v>34</v>
      </c>
      <c r="MA86" s="13" t="s">
        <v>34</v>
      </c>
      <c r="MB86" s="13" t="s">
        <v>34</v>
      </c>
      <c r="MC86" s="13" t="s">
        <v>34</v>
      </c>
      <c r="MD86" s="13" t="s">
        <v>34</v>
      </c>
      <c r="ME86" s="13" t="s">
        <v>619</v>
      </c>
      <c r="MF86" s="13" t="s">
        <v>34</v>
      </c>
      <c r="MG86" s="13" t="s">
        <v>34</v>
      </c>
      <c r="MH86" s="13" t="s">
        <v>34</v>
      </c>
      <c r="MI86" s="13" t="s">
        <v>34</v>
      </c>
      <c r="MJ86" s="13" t="s">
        <v>34</v>
      </c>
      <c r="MK86" s="13" t="s">
        <v>34</v>
      </c>
      <c r="ML86" s="13" t="s">
        <v>619</v>
      </c>
      <c r="MM86" s="13" t="s">
        <v>34</v>
      </c>
      <c r="MN86" s="13" t="s">
        <v>34</v>
      </c>
      <c r="MO86" s="13" t="s">
        <v>619</v>
      </c>
      <c r="MP86" s="13" t="s">
        <v>619</v>
      </c>
      <c r="MQ86" s="13" t="s">
        <v>34</v>
      </c>
      <c r="MR86" s="13" t="s">
        <v>619</v>
      </c>
      <c r="MS86" s="13" t="s">
        <v>34</v>
      </c>
      <c r="MT86" s="13" t="s">
        <v>34</v>
      </c>
      <c r="MU86" s="13" t="s">
        <v>34</v>
      </c>
      <c r="MV86" s="13" t="s">
        <v>34</v>
      </c>
      <c r="MW86" s="13" t="s">
        <v>34</v>
      </c>
      <c r="MX86" s="13" t="s">
        <v>34</v>
      </c>
      <c r="MY86" s="28" t="s">
        <v>296</v>
      </c>
      <c r="MZ86" s="28" t="s">
        <v>296</v>
      </c>
      <c r="NA86" s="28" t="s">
        <v>296</v>
      </c>
      <c r="NB86" s="28" t="s">
        <v>296</v>
      </c>
      <c r="NC86" s="28" t="s">
        <v>296</v>
      </c>
      <c r="ND86" s="28" t="s">
        <v>296</v>
      </c>
      <c r="NE86" s="28" t="s">
        <v>296</v>
      </c>
      <c r="NF86" s="28" t="s">
        <v>297</v>
      </c>
      <c r="NG86" s="28" t="s">
        <v>297</v>
      </c>
      <c r="NH86" s="28" t="s">
        <v>297</v>
      </c>
      <c r="NI86" s="177" t="s">
        <v>296</v>
      </c>
      <c r="NJ86" s="177" t="s">
        <v>297</v>
      </c>
      <c r="NK86" s="177" t="s">
        <v>296</v>
      </c>
      <c r="NL86" s="177" t="s">
        <v>296</v>
      </c>
      <c r="NM86" s="177" t="s">
        <v>296</v>
      </c>
      <c r="NN86" s="177" t="s">
        <v>296</v>
      </c>
      <c r="NO86" s="177" t="s">
        <v>296</v>
      </c>
      <c r="NP86" s="177" t="s">
        <v>297</v>
      </c>
      <c r="NQ86" s="177" t="s">
        <v>296</v>
      </c>
      <c r="NR86" s="12" t="s">
        <v>34</v>
      </c>
      <c r="NS86" s="13" t="s">
        <v>34</v>
      </c>
    </row>
    <row r="87" spans="1:383" x14ac:dyDescent="0.25">
      <c r="A87" s="8" t="s">
        <v>214</v>
      </c>
      <c r="B87" s="9" t="s">
        <v>215</v>
      </c>
      <c r="C87" s="9">
        <v>52</v>
      </c>
      <c r="D87" s="9" t="s">
        <v>133</v>
      </c>
      <c r="E87" s="10">
        <v>29</v>
      </c>
      <c r="F87" s="10">
        <v>29</v>
      </c>
      <c r="G87" s="10">
        <v>25</v>
      </c>
      <c r="H87" s="10">
        <v>24</v>
      </c>
      <c r="I87" s="10">
        <v>25</v>
      </c>
      <c r="J87" s="11">
        <v>72</v>
      </c>
      <c r="K87" s="11">
        <v>64</v>
      </c>
      <c r="L87" s="11">
        <v>59</v>
      </c>
      <c r="M87" s="11">
        <v>45</v>
      </c>
      <c r="N87" s="11">
        <v>39</v>
      </c>
      <c r="O87" s="13">
        <v>778</v>
      </c>
      <c r="P87" s="13">
        <v>837</v>
      </c>
      <c r="Q87" s="13">
        <v>1188</v>
      </c>
      <c r="R87" s="13">
        <v>957</v>
      </c>
      <c r="S87" s="13">
        <v>751</v>
      </c>
      <c r="T87" s="12">
        <v>157</v>
      </c>
      <c r="U87" s="12">
        <v>205</v>
      </c>
      <c r="V87" s="12">
        <v>290</v>
      </c>
      <c r="W87" s="12">
        <v>298</v>
      </c>
      <c r="X87" s="12">
        <v>246</v>
      </c>
      <c r="Y87" s="12">
        <v>6.5</v>
      </c>
      <c r="Z87" s="12">
        <v>6.53</v>
      </c>
      <c r="AA87" s="12">
        <v>6.53</v>
      </c>
      <c r="AB87" s="13">
        <v>6</v>
      </c>
      <c r="AC87" s="13">
        <v>6.03</v>
      </c>
      <c r="AD87" s="13">
        <v>6.03</v>
      </c>
      <c r="AE87" s="35" t="s">
        <v>259</v>
      </c>
      <c r="AF87" s="35" t="s">
        <v>259</v>
      </c>
      <c r="AG87" s="35" t="s">
        <v>259</v>
      </c>
      <c r="AH87" s="40">
        <v>0.5</v>
      </c>
      <c r="AI87" s="40">
        <v>0.5</v>
      </c>
      <c r="AJ87" s="40">
        <v>0.5</v>
      </c>
      <c r="AK87" s="45" t="s">
        <v>288</v>
      </c>
      <c r="AL87" s="45" t="s">
        <v>34</v>
      </c>
      <c r="AM87" s="45" t="s">
        <v>34</v>
      </c>
      <c r="AN87" s="45" t="s">
        <v>34</v>
      </c>
      <c r="AO87" s="45" t="s">
        <v>34</v>
      </c>
      <c r="AP87" s="45" t="s">
        <v>292</v>
      </c>
      <c r="AQ87" s="53" t="s">
        <v>296</v>
      </c>
      <c r="AR87" s="56">
        <v>22</v>
      </c>
      <c r="AS87" s="57">
        <v>21</v>
      </c>
      <c r="AT87" s="56">
        <v>21</v>
      </c>
      <c r="AU87" s="57">
        <v>3326</v>
      </c>
      <c r="AV87" s="57">
        <v>1812</v>
      </c>
      <c r="AW87" s="57">
        <v>3252</v>
      </c>
      <c r="AX87" s="57">
        <v>4</v>
      </c>
      <c r="AY87" s="57">
        <v>9</v>
      </c>
      <c r="AZ87" s="57">
        <v>6</v>
      </c>
      <c r="BA87" s="57">
        <v>1002</v>
      </c>
      <c r="BB87" s="57">
        <v>455</v>
      </c>
      <c r="BC87" s="57">
        <v>2252</v>
      </c>
      <c r="BD87" s="57">
        <v>405</v>
      </c>
      <c r="BE87" s="57">
        <v>333</v>
      </c>
      <c r="BF87" s="57">
        <v>872</v>
      </c>
      <c r="BG87" s="57">
        <v>1595</v>
      </c>
      <c r="BH87" s="57">
        <v>1410</v>
      </c>
      <c r="BI87" s="57">
        <v>2472</v>
      </c>
      <c r="BJ87" s="57" t="s">
        <v>296</v>
      </c>
      <c r="BK87" s="57">
        <v>12</v>
      </c>
      <c r="BL87" s="57">
        <v>0</v>
      </c>
      <c r="BM87" s="57">
        <v>0</v>
      </c>
      <c r="BN87" s="57">
        <v>80</v>
      </c>
      <c r="BO87" s="57">
        <v>600</v>
      </c>
      <c r="BP87" s="57">
        <v>150</v>
      </c>
      <c r="BQ87" s="76">
        <v>308</v>
      </c>
      <c r="BR87" s="76">
        <v>308</v>
      </c>
      <c r="BS87">
        <v>305</v>
      </c>
      <c r="BT87">
        <v>305</v>
      </c>
      <c r="BU87">
        <v>303</v>
      </c>
      <c r="BV87">
        <v>33801</v>
      </c>
      <c r="BW87">
        <v>33321</v>
      </c>
      <c r="BX87">
        <v>32821</v>
      </c>
      <c r="BY87">
        <v>32472</v>
      </c>
      <c r="BZ87">
        <v>31478</v>
      </c>
      <c r="CA87">
        <v>29</v>
      </c>
      <c r="CB87">
        <v>29</v>
      </c>
      <c r="CC87">
        <v>25</v>
      </c>
      <c r="CD87">
        <v>25</v>
      </c>
      <c r="CE87">
        <v>25</v>
      </c>
      <c r="CF87">
        <v>935</v>
      </c>
      <c r="CG87">
        <v>1042</v>
      </c>
      <c r="CH87">
        <v>1478</v>
      </c>
      <c r="CI87">
        <v>1255</v>
      </c>
      <c r="CJ87">
        <v>997</v>
      </c>
      <c r="CK87" s="10">
        <v>32.75</v>
      </c>
      <c r="CL87" s="10">
        <v>33</v>
      </c>
      <c r="CM87" s="10">
        <v>33</v>
      </c>
      <c r="CN87" s="11">
        <v>24</v>
      </c>
      <c r="CO87" s="11">
        <v>24</v>
      </c>
      <c r="CP87" s="11">
        <v>24</v>
      </c>
      <c r="CQ87" s="13">
        <v>9</v>
      </c>
      <c r="CR87" s="13">
        <v>1</v>
      </c>
      <c r="CS87" s="13">
        <v>0</v>
      </c>
      <c r="CT87" s="10">
        <v>0</v>
      </c>
      <c r="CU87" s="10">
        <v>0</v>
      </c>
      <c r="CV87" s="10">
        <v>6</v>
      </c>
      <c r="CW87" s="10">
        <v>3</v>
      </c>
      <c r="CX87" s="10">
        <v>2</v>
      </c>
      <c r="CY87" s="10">
        <v>0</v>
      </c>
      <c r="CZ87" s="10">
        <v>0</v>
      </c>
      <c r="DA87" s="10">
        <v>0</v>
      </c>
      <c r="DB87" s="10">
        <v>0</v>
      </c>
      <c r="DC87" s="10">
        <v>0</v>
      </c>
      <c r="DD87" s="10">
        <v>0</v>
      </c>
      <c r="DE87" s="10">
        <v>0</v>
      </c>
      <c r="DF87" s="10">
        <v>0</v>
      </c>
      <c r="DG87" s="10">
        <v>0</v>
      </c>
      <c r="DH87" s="10">
        <v>0</v>
      </c>
      <c r="DI87" s="81">
        <v>0</v>
      </c>
      <c r="DJ87" s="81">
        <v>0</v>
      </c>
      <c r="DK87" s="81">
        <v>3</v>
      </c>
      <c r="DL87" s="81">
        <v>0</v>
      </c>
      <c r="DM87" s="81">
        <v>2</v>
      </c>
      <c r="DN87" s="12">
        <v>1</v>
      </c>
      <c r="DO87" s="12">
        <v>1</v>
      </c>
      <c r="DP87" s="12">
        <v>0</v>
      </c>
      <c r="DQ87" s="12">
        <v>0</v>
      </c>
      <c r="DR87" s="12">
        <v>0</v>
      </c>
      <c r="DS87" s="12">
        <v>0</v>
      </c>
      <c r="DT87" s="12">
        <v>0</v>
      </c>
      <c r="DU87" s="12">
        <v>0</v>
      </c>
      <c r="DV87" s="12">
        <v>7</v>
      </c>
      <c r="DW87" s="12">
        <v>1</v>
      </c>
      <c r="DX87" s="12">
        <v>1</v>
      </c>
      <c r="DY87" s="12">
        <v>3</v>
      </c>
      <c r="DZ87" s="12">
        <v>1</v>
      </c>
      <c r="EA87" s="12">
        <v>0</v>
      </c>
      <c r="EB87" s="12">
        <v>1</v>
      </c>
      <c r="EC87" s="12">
        <v>0</v>
      </c>
      <c r="ED87" s="12">
        <v>0</v>
      </c>
      <c r="EE87" s="12">
        <v>1</v>
      </c>
      <c r="EF87" s="12">
        <v>1</v>
      </c>
      <c r="EG87" s="12">
        <v>0</v>
      </c>
      <c r="EH87" s="12">
        <v>0</v>
      </c>
      <c r="EI87" s="12">
        <v>1</v>
      </c>
      <c r="EJ87" s="12">
        <v>2</v>
      </c>
      <c r="EK87" s="12">
        <v>0</v>
      </c>
      <c r="EL87" s="12">
        <v>1</v>
      </c>
      <c r="EM87" s="12">
        <v>1</v>
      </c>
      <c r="EN87" s="12">
        <v>2</v>
      </c>
      <c r="EO87" s="12">
        <v>2</v>
      </c>
      <c r="EP87" s="12">
        <v>1</v>
      </c>
      <c r="EQ87" s="12">
        <v>4</v>
      </c>
      <c r="ER87" s="12">
        <v>1</v>
      </c>
      <c r="ES87" s="13">
        <v>16</v>
      </c>
      <c r="ET87" s="13">
        <v>2</v>
      </c>
      <c r="EU87" s="13">
        <v>0</v>
      </c>
      <c r="EV87" s="10">
        <v>0</v>
      </c>
      <c r="EW87" s="10">
        <v>0</v>
      </c>
      <c r="EX87" s="10">
        <v>2</v>
      </c>
      <c r="EY87" s="10">
        <v>0</v>
      </c>
      <c r="EZ87" s="10">
        <v>1</v>
      </c>
      <c r="FA87" s="10">
        <v>0</v>
      </c>
      <c r="FB87" s="10">
        <v>0</v>
      </c>
      <c r="FC87" s="10">
        <v>0</v>
      </c>
      <c r="FD87" s="10">
        <v>0</v>
      </c>
      <c r="FE87" s="10">
        <v>0</v>
      </c>
      <c r="FF87" s="10">
        <v>0</v>
      </c>
      <c r="FG87" s="10">
        <v>0</v>
      </c>
      <c r="FH87" s="10">
        <v>0</v>
      </c>
      <c r="FI87" s="10">
        <v>0</v>
      </c>
      <c r="FJ87" s="10">
        <v>1</v>
      </c>
      <c r="FK87" s="81">
        <v>0</v>
      </c>
      <c r="FL87" s="81">
        <v>0</v>
      </c>
      <c r="FM87" s="81">
        <v>1</v>
      </c>
      <c r="FN87" s="81">
        <v>0</v>
      </c>
      <c r="FO87" s="81">
        <v>0</v>
      </c>
      <c r="FP87" s="12">
        <v>1</v>
      </c>
      <c r="FQ87" s="12">
        <v>0</v>
      </c>
      <c r="FR87" s="12">
        <v>1</v>
      </c>
      <c r="FS87" s="12">
        <v>0</v>
      </c>
      <c r="FT87" s="12">
        <v>0</v>
      </c>
      <c r="FU87" s="12">
        <v>0</v>
      </c>
      <c r="FV87" s="12">
        <v>0</v>
      </c>
      <c r="FW87" s="12">
        <v>0</v>
      </c>
      <c r="FX87" s="12">
        <v>7</v>
      </c>
      <c r="FY87" s="12">
        <v>1</v>
      </c>
      <c r="FZ87" s="12">
        <v>2</v>
      </c>
      <c r="GA87" s="12">
        <v>1</v>
      </c>
      <c r="GB87" s="12">
        <v>1</v>
      </c>
      <c r="GC87" s="12">
        <v>0</v>
      </c>
      <c r="GD87" s="12">
        <v>5</v>
      </c>
      <c r="GE87" s="12">
        <v>0</v>
      </c>
      <c r="GF87" s="12">
        <v>7</v>
      </c>
      <c r="GG87" s="12">
        <v>1</v>
      </c>
      <c r="GH87" s="12">
        <v>1</v>
      </c>
      <c r="GI87" s="12">
        <v>0</v>
      </c>
      <c r="GJ87" s="12">
        <v>0</v>
      </c>
      <c r="GK87" s="12">
        <v>1</v>
      </c>
      <c r="GL87" s="12">
        <v>1</v>
      </c>
      <c r="GM87" s="12">
        <v>2</v>
      </c>
      <c r="GN87" s="12">
        <v>0</v>
      </c>
      <c r="GO87" s="12">
        <v>1</v>
      </c>
      <c r="GP87" s="12">
        <v>0</v>
      </c>
      <c r="GQ87" s="12">
        <v>0</v>
      </c>
      <c r="GR87" s="12">
        <v>2</v>
      </c>
      <c r="GS87" s="12">
        <v>2</v>
      </c>
      <c r="GT87" s="12">
        <v>0</v>
      </c>
      <c r="GU87" s="13">
        <v>21</v>
      </c>
      <c r="GV87" s="13">
        <v>2</v>
      </c>
      <c r="GW87" s="13">
        <v>2</v>
      </c>
      <c r="GX87" s="13">
        <v>1</v>
      </c>
      <c r="GY87" s="10">
        <v>0</v>
      </c>
      <c r="GZ87" s="10">
        <v>0</v>
      </c>
      <c r="HA87" s="10">
        <v>9</v>
      </c>
      <c r="HB87" s="10">
        <v>12</v>
      </c>
      <c r="HC87" s="10">
        <v>1</v>
      </c>
      <c r="HD87" s="10">
        <v>0</v>
      </c>
      <c r="HE87" s="10">
        <v>0</v>
      </c>
      <c r="HF87" s="10">
        <v>0</v>
      </c>
      <c r="HG87" s="10">
        <v>0</v>
      </c>
      <c r="HH87" s="10">
        <v>1</v>
      </c>
      <c r="HI87" s="10">
        <v>0</v>
      </c>
      <c r="HJ87" s="10">
        <v>0</v>
      </c>
      <c r="HK87" s="10">
        <v>1</v>
      </c>
      <c r="HL87" s="10">
        <v>2</v>
      </c>
      <c r="HM87" s="10">
        <v>0</v>
      </c>
      <c r="HN87" s="81">
        <v>0</v>
      </c>
      <c r="HO87" s="81">
        <v>0</v>
      </c>
      <c r="HP87" s="81">
        <v>0</v>
      </c>
      <c r="HQ87" s="81">
        <v>0</v>
      </c>
      <c r="HR87" s="81">
        <v>0</v>
      </c>
      <c r="HS87" s="12">
        <v>0</v>
      </c>
      <c r="HT87" s="12">
        <v>0</v>
      </c>
      <c r="HU87" s="12">
        <v>1</v>
      </c>
      <c r="HV87" s="12">
        <v>0</v>
      </c>
      <c r="HW87" s="12">
        <v>0</v>
      </c>
      <c r="HX87" s="12">
        <v>0</v>
      </c>
      <c r="HY87" s="12">
        <v>0</v>
      </c>
      <c r="HZ87" s="12">
        <v>0</v>
      </c>
      <c r="IA87" s="12">
        <v>1</v>
      </c>
      <c r="IB87" s="12">
        <v>0</v>
      </c>
      <c r="IC87" s="12">
        <v>0</v>
      </c>
      <c r="ID87" s="12">
        <v>0</v>
      </c>
      <c r="IE87" s="12">
        <v>0</v>
      </c>
      <c r="IF87" s="12">
        <v>0</v>
      </c>
      <c r="IG87" s="12">
        <v>0</v>
      </c>
      <c r="IH87" s="12">
        <v>0</v>
      </c>
      <c r="II87" s="12">
        <v>0</v>
      </c>
      <c r="IJ87" s="12">
        <v>0</v>
      </c>
      <c r="IK87" s="12">
        <v>0</v>
      </c>
      <c r="IL87" s="12">
        <v>1</v>
      </c>
      <c r="IM87" s="12">
        <v>0</v>
      </c>
      <c r="IN87" s="12">
        <v>0</v>
      </c>
      <c r="IO87" s="12">
        <v>4</v>
      </c>
      <c r="IP87" s="12">
        <v>0</v>
      </c>
      <c r="IQ87" s="12">
        <v>0</v>
      </c>
      <c r="IR87" s="12">
        <v>0</v>
      </c>
      <c r="IS87" s="12">
        <v>0</v>
      </c>
      <c r="IT87" s="12">
        <v>0</v>
      </c>
      <c r="IU87" s="12">
        <v>1</v>
      </c>
      <c r="IV87" s="12">
        <v>0</v>
      </c>
      <c r="IW87" s="12">
        <v>0</v>
      </c>
      <c r="IX87" s="11">
        <v>2500</v>
      </c>
      <c r="IY87" s="11">
        <v>4000</v>
      </c>
      <c r="IZ87" s="11">
        <v>4290</v>
      </c>
      <c r="JA87" s="85" t="s">
        <v>602</v>
      </c>
      <c r="JB87" s="85">
        <v>1</v>
      </c>
      <c r="JC87" s="85">
        <v>0</v>
      </c>
      <c r="JD87" s="12">
        <v>10</v>
      </c>
      <c r="JE87" s="12">
        <v>0</v>
      </c>
      <c r="JF87" s="12">
        <v>10</v>
      </c>
      <c r="JG87" s="12">
        <v>4</v>
      </c>
      <c r="JH87" s="12">
        <v>10</v>
      </c>
      <c r="JI87" s="12">
        <v>0</v>
      </c>
      <c r="JJ87" s="13" t="s">
        <v>620</v>
      </c>
      <c r="JK87" s="13" t="s">
        <v>619</v>
      </c>
      <c r="JL87" s="13" t="s">
        <v>297</v>
      </c>
      <c r="JM87" s="89"/>
      <c r="JN87" s="89"/>
      <c r="JO87" s="89" t="s">
        <v>296</v>
      </c>
      <c r="JP87" s="89"/>
      <c r="JQ87" s="89"/>
      <c r="JR87" s="89" t="s">
        <v>296</v>
      </c>
      <c r="JS87" s="89" t="s">
        <v>619</v>
      </c>
      <c r="JT87" s="89" t="s">
        <v>619</v>
      </c>
      <c r="JU87" s="89" t="s">
        <v>296</v>
      </c>
      <c r="JV87" s="89"/>
      <c r="JW87" s="89"/>
      <c r="JX87" s="89" t="s">
        <v>296</v>
      </c>
      <c r="JY87" s="12" t="s">
        <v>34</v>
      </c>
      <c r="JZ87" s="12" t="s">
        <v>34</v>
      </c>
      <c r="KA87" s="12" t="s">
        <v>619</v>
      </c>
      <c r="KB87" s="12" t="s">
        <v>34</v>
      </c>
      <c r="KC87" s="12" t="s">
        <v>619</v>
      </c>
      <c r="KD87" s="12" t="s">
        <v>34</v>
      </c>
      <c r="KE87" s="12" t="s">
        <v>34</v>
      </c>
      <c r="KF87" s="12"/>
      <c r="KG87" s="12" t="s">
        <v>619</v>
      </c>
      <c r="KH87" s="12" t="s">
        <v>34</v>
      </c>
      <c r="KI87" s="12" t="s">
        <v>619</v>
      </c>
      <c r="KJ87" s="12" t="s">
        <v>34</v>
      </c>
      <c r="KK87" s="12" t="s">
        <v>34</v>
      </c>
      <c r="KL87" s="12" t="s">
        <v>34</v>
      </c>
      <c r="KM87" s="12" t="s">
        <v>34</v>
      </c>
      <c r="KN87" s="12" t="s">
        <v>619</v>
      </c>
      <c r="KO87" s="12" t="s">
        <v>619</v>
      </c>
      <c r="KP87" s="12" t="s">
        <v>34</v>
      </c>
      <c r="KQ87" s="12" t="s">
        <v>619</v>
      </c>
      <c r="KR87" s="12" t="s">
        <v>34</v>
      </c>
      <c r="KS87" s="12" t="s">
        <v>34</v>
      </c>
      <c r="KT87" s="12" t="s">
        <v>34</v>
      </c>
      <c r="KU87" s="12" t="s">
        <v>34</v>
      </c>
      <c r="KV87" s="12" t="s">
        <v>34</v>
      </c>
      <c r="KW87" s="12" t="s">
        <v>34</v>
      </c>
      <c r="KX87" s="12" t="s">
        <v>34</v>
      </c>
      <c r="KY87" s="12" t="s">
        <v>619</v>
      </c>
      <c r="KZ87" s="12" t="s">
        <v>34</v>
      </c>
      <c r="LA87" s="12" t="s">
        <v>34</v>
      </c>
      <c r="LB87" s="12" t="s">
        <v>34</v>
      </c>
      <c r="LC87" s="12" t="s">
        <v>34</v>
      </c>
      <c r="LD87" s="12" t="s">
        <v>34</v>
      </c>
      <c r="LE87" s="12" t="s">
        <v>34</v>
      </c>
      <c r="LF87" s="12" t="s">
        <v>34</v>
      </c>
      <c r="LG87" s="12" t="s">
        <v>34</v>
      </c>
      <c r="LH87" s="12" t="s">
        <v>34</v>
      </c>
      <c r="LI87" s="12" t="s">
        <v>34</v>
      </c>
      <c r="LJ87" s="12" t="s">
        <v>34</v>
      </c>
      <c r="LK87" s="12" t="s">
        <v>34</v>
      </c>
      <c r="LL87" s="13" t="s">
        <v>34</v>
      </c>
      <c r="LM87" s="13" t="s">
        <v>34</v>
      </c>
      <c r="LN87" s="13" t="s">
        <v>619</v>
      </c>
      <c r="LO87" s="13" t="s">
        <v>34</v>
      </c>
      <c r="LP87" s="90" t="s">
        <v>619</v>
      </c>
      <c r="LQ87" s="13" t="s">
        <v>34</v>
      </c>
      <c r="LR87" s="13" t="s">
        <v>34</v>
      </c>
      <c r="LS87" s="13"/>
      <c r="LT87" s="13" t="s">
        <v>34</v>
      </c>
      <c r="LU87" s="13" t="s">
        <v>34</v>
      </c>
      <c r="LV87" s="13" t="s">
        <v>34</v>
      </c>
      <c r="LW87" s="13" t="s">
        <v>34</v>
      </c>
      <c r="LX87" s="13" t="s">
        <v>34</v>
      </c>
      <c r="LY87" s="13" t="s">
        <v>34</v>
      </c>
      <c r="LZ87" s="13" t="s">
        <v>34</v>
      </c>
      <c r="MA87" s="13" t="s">
        <v>619</v>
      </c>
      <c r="MB87" s="13" t="s">
        <v>619</v>
      </c>
      <c r="MC87" s="13" t="s">
        <v>34</v>
      </c>
      <c r="MD87" s="13" t="s">
        <v>619</v>
      </c>
      <c r="ME87" s="13" t="s">
        <v>34</v>
      </c>
      <c r="MF87" s="13" t="s">
        <v>34</v>
      </c>
      <c r="MG87" s="13" t="s">
        <v>34</v>
      </c>
      <c r="MH87" s="13" t="s">
        <v>34</v>
      </c>
      <c r="MI87" s="13" t="s">
        <v>34</v>
      </c>
      <c r="MJ87" s="13" t="s">
        <v>34</v>
      </c>
      <c r="MK87" s="13" t="s">
        <v>34</v>
      </c>
      <c r="ML87" s="13" t="s">
        <v>619</v>
      </c>
      <c r="MM87" s="13" t="s">
        <v>34</v>
      </c>
      <c r="MN87" s="13" t="s">
        <v>34</v>
      </c>
      <c r="MO87" s="13" t="s">
        <v>619</v>
      </c>
      <c r="MP87" s="13" t="s">
        <v>34</v>
      </c>
      <c r="MQ87" s="13" t="s">
        <v>619</v>
      </c>
      <c r="MR87" s="13" t="s">
        <v>619</v>
      </c>
      <c r="MS87" s="13" t="s">
        <v>34</v>
      </c>
      <c r="MT87" s="13" t="s">
        <v>34</v>
      </c>
      <c r="MU87" s="13" t="s">
        <v>34</v>
      </c>
      <c r="MV87" s="13" t="s">
        <v>34</v>
      </c>
      <c r="MW87" s="13" t="s">
        <v>34</v>
      </c>
      <c r="MX87" s="13" t="s">
        <v>34</v>
      </c>
      <c r="MY87" s="28" t="s">
        <v>296</v>
      </c>
      <c r="MZ87" s="28" t="s">
        <v>296</v>
      </c>
      <c r="NA87" s="28" t="s">
        <v>296</v>
      </c>
      <c r="NB87" s="28" t="s">
        <v>296</v>
      </c>
      <c r="NC87" s="28" t="s">
        <v>296</v>
      </c>
      <c r="ND87" s="28" t="s">
        <v>297</v>
      </c>
      <c r="NE87" s="28" t="s">
        <v>296</v>
      </c>
      <c r="NF87" s="28" t="s">
        <v>297</v>
      </c>
      <c r="NG87" s="28" t="s">
        <v>297</v>
      </c>
      <c r="NH87" s="28" t="s">
        <v>297</v>
      </c>
      <c r="NI87" s="177" t="s">
        <v>296</v>
      </c>
      <c r="NJ87" s="177" t="s">
        <v>297</v>
      </c>
      <c r="NK87" s="177" t="s">
        <v>296</v>
      </c>
      <c r="NL87" s="177" t="s">
        <v>296</v>
      </c>
      <c r="NM87" s="177" t="s">
        <v>296</v>
      </c>
      <c r="NN87" s="177" t="s">
        <v>296</v>
      </c>
      <c r="NO87" s="177" t="s">
        <v>296</v>
      </c>
      <c r="NP87" s="177" t="s">
        <v>297</v>
      </c>
      <c r="NQ87" s="177" t="s">
        <v>296</v>
      </c>
      <c r="NR87" s="12" t="s">
        <v>34</v>
      </c>
      <c r="NS87" s="13" t="s">
        <v>34</v>
      </c>
    </row>
    <row r="88" spans="1:383" x14ac:dyDescent="0.25">
      <c r="A88" s="8" t="s">
        <v>0</v>
      </c>
      <c r="B88" s="9" t="s">
        <v>216</v>
      </c>
      <c r="C88" s="9">
        <v>75</v>
      </c>
      <c r="D88" s="9" t="s">
        <v>70</v>
      </c>
      <c r="E88" s="10">
        <v>78</v>
      </c>
      <c r="F88" s="10">
        <v>69</v>
      </c>
      <c r="G88" s="10">
        <v>66</v>
      </c>
      <c r="H88" s="10">
        <v>64</v>
      </c>
      <c r="I88" s="10">
        <v>49</v>
      </c>
      <c r="J88" s="11">
        <v>437</v>
      </c>
      <c r="K88" s="11">
        <v>365</v>
      </c>
      <c r="L88" s="11">
        <v>407</v>
      </c>
      <c r="M88" s="11">
        <v>382</v>
      </c>
      <c r="N88" s="11">
        <v>289</v>
      </c>
      <c r="O88" s="13">
        <v>6149</v>
      </c>
      <c r="P88" s="13">
        <v>4883</v>
      </c>
      <c r="Q88" s="13">
        <v>4935</v>
      </c>
      <c r="R88" s="13">
        <v>4855</v>
      </c>
      <c r="S88" s="13">
        <v>3737</v>
      </c>
      <c r="T88" s="12">
        <v>1331</v>
      </c>
      <c r="U88" s="12">
        <v>1233</v>
      </c>
      <c r="V88" s="12">
        <v>1699</v>
      </c>
      <c r="W88" s="12">
        <v>1777</v>
      </c>
      <c r="X88" s="12">
        <v>981</v>
      </c>
      <c r="Y88" s="12">
        <v>4.8</v>
      </c>
      <c r="Z88" s="12">
        <v>4.8</v>
      </c>
      <c r="AA88" s="12">
        <v>4.8</v>
      </c>
      <c r="AB88" s="13">
        <v>4.8</v>
      </c>
      <c r="AC88" s="13">
        <v>4.8</v>
      </c>
      <c r="AD88" s="13">
        <v>4.8</v>
      </c>
      <c r="AE88" s="35" t="s">
        <v>258</v>
      </c>
      <c r="AF88" s="35" t="s">
        <v>259</v>
      </c>
      <c r="AG88" s="35" t="s">
        <v>259</v>
      </c>
      <c r="AH88" s="38">
        <v>0.5</v>
      </c>
      <c r="AI88" s="38">
        <v>1</v>
      </c>
      <c r="AJ88" s="38">
        <v>1</v>
      </c>
      <c r="AK88" s="45" t="s">
        <v>288</v>
      </c>
      <c r="AL88" s="45" t="s">
        <v>289</v>
      </c>
      <c r="AM88" s="45" t="s">
        <v>34</v>
      </c>
      <c r="AN88" s="45" t="s">
        <v>34</v>
      </c>
      <c r="AO88" s="45" t="s">
        <v>34</v>
      </c>
      <c r="AP88" s="45" t="s">
        <v>292</v>
      </c>
      <c r="AQ88" s="53" t="s">
        <v>296</v>
      </c>
      <c r="AR88" s="56">
        <v>278</v>
      </c>
      <c r="AS88" s="57">
        <v>101</v>
      </c>
      <c r="AT88" s="56">
        <v>107</v>
      </c>
      <c r="AU88" s="57">
        <v>21335</v>
      </c>
      <c r="AV88" s="57">
        <v>7416</v>
      </c>
      <c r="AW88" s="57">
        <v>9198</v>
      </c>
      <c r="AX88" s="57">
        <v>6</v>
      </c>
      <c r="AY88" s="57">
        <v>0</v>
      </c>
      <c r="AZ88" s="57">
        <v>2</v>
      </c>
      <c r="BA88" s="57">
        <v>4614</v>
      </c>
      <c r="BB88" s="57">
        <v>8903</v>
      </c>
      <c r="BC88" s="57">
        <v>8338</v>
      </c>
      <c r="BD88" s="57">
        <v>856</v>
      </c>
      <c r="BE88" s="57">
        <v>922</v>
      </c>
      <c r="BF88" s="57">
        <v>880</v>
      </c>
      <c r="BG88" s="57">
        <v>603</v>
      </c>
      <c r="BH88" s="57">
        <v>1260</v>
      </c>
      <c r="BI88" s="57">
        <v>1676</v>
      </c>
      <c r="BJ88" s="57" t="s">
        <v>297</v>
      </c>
      <c r="BK88" s="57">
        <v>25</v>
      </c>
      <c r="BL88" s="57">
        <v>1</v>
      </c>
      <c r="BM88" s="57">
        <v>0</v>
      </c>
      <c r="BN88" s="57">
        <v>2200</v>
      </c>
      <c r="BO88" s="57">
        <v>2500</v>
      </c>
      <c r="BP88" s="57">
        <v>2500</v>
      </c>
      <c r="BQ88" s="76">
        <v>352</v>
      </c>
      <c r="BR88" s="76">
        <v>343</v>
      </c>
      <c r="BS88">
        <v>325</v>
      </c>
      <c r="BT88">
        <v>325</v>
      </c>
      <c r="BU88">
        <v>323</v>
      </c>
      <c r="BV88">
        <v>35617</v>
      </c>
      <c r="BW88">
        <v>35111</v>
      </c>
      <c r="BX88">
        <v>34755</v>
      </c>
      <c r="BY88">
        <v>34137</v>
      </c>
      <c r="BZ88">
        <v>33245</v>
      </c>
      <c r="CA88">
        <v>118</v>
      </c>
      <c r="CB88">
        <v>105</v>
      </c>
      <c r="CC88">
        <v>95</v>
      </c>
      <c r="CD88">
        <v>107</v>
      </c>
      <c r="CE88">
        <v>60</v>
      </c>
      <c r="CF88">
        <v>7480</v>
      </c>
      <c r="CG88">
        <v>6116</v>
      </c>
      <c r="CH88">
        <v>6634</v>
      </c>
      <c r="CI88">
        <v>6632</v>
      </c>
      <c r="CJ88">
        <v>4718</v>
      </c>
      <c r="CK88" s="10">
        <v>25</v>
      </c>
      <c r="CL88" s="10">
        <v>25</v>
      </c>
      <c r="CM88" s="10">
        <v>25</v>
      </c>
      <c r="CN88" s="11">
        <v>15</v>
      </c>
      <c r="CO88" s="11">
        <v>15</v>
      </c>
      <c r="CP88" s="11">
        <v>15</v>
      </c>
      <c r="CQ88" s="13">
        <v>35</v>
      </c>
      <c r="CR88" s="13">
        <v>15</v>
      </c>
      <c r="CS88" s="13">
        <v>4</v>
      </c>
      <c r="CT88" s="10">
        <v>0</v>
      </c>
      <c r="CU88" s="10">
        <v>2</v>
      </c>
      <c r="CV88" s="10">
        <v>52</v>
      </c>
      <c r="CW88" s="10">
        <v>44</v>
      </c>
      <c r="CX88" s="10">
        <v>14</v>
      </c>
      <c r="CY88" s="10">
        <v>1</v>
      </c>
      <c r="CZ88" s="10">
        <v>0</v>
      </c>
      <c r="DA88" s="10">
        <v>0</v>
      </c>
      <c r="DB88" s="10">
        <v>1</v>
      </c>
      <c r="DC88" s="10">
        <v>0</v>
      </c>
      <c r="DD88" s="10">
        <v>0</v>
      </c>
      <c r="DE88" s="10">
        <v>0</v>
      </c>
      <c r="DF88" s="10">
        <v>11</v>
      </c>
      <c r="DG88" s="10">
        <v>0</v>
      </c>
      <c r="DH88" s="10">
        <v>2</v>
      </c>
      <c r="DI88" s="81">
        <v>18</v>
      </c>
      <c r="DJ88" s="81">
        <v>20</v>
      </c>
      <c r="DK88" s="81">
        <v>17</v>
      </c>
      <c r="DL88" s="81">
        <v>0</v>
      </c>
      <c r="DM88" s="81">
        <v>16</v>
      </c>
      <c r="DN88" s="12">
        <v>17</v>
      </c>
      <c r="DO88" s="12">
        <v>5</v>
      </c>
      <c r="DP88" s="12">
        <v>15</v>
      </c>
      <c r="DQ88" s="12">
        <v>7</v>
      </c>
      <c r="DR88" s="12">
        <v>4</v>
      </c>
      <c r="DS88" s="12">
        <v>3</v>
      </c>
      <c r="DT88" s="12">
        <v>0</v>
      </c>
      <c r="DU88" s="12">
        <v>1</v>
      </c>
      <c r="DV88" s="12">
        <v>40</v>
      </c>
      <c r="DW88" s="12">
        <v>15</v>
      </c>
      <c r="DX88" s="12">
        <v>5</v>
      </c>
      <c r="DY88" s="12">
        <v>29</v>
      </c>
      <c r="DZ88" s="12">
        <v>5</v>
      </c>
      <c r="EA88" s="12">
        <v>1</v>
      </c>
      <c r="EB88" s="12">
        <v>39</v>
      </c>
      <c r="EC88" s="12">
        <v>3</v>
      </c>
      <c r="ED88" s="12">
        <v>24</v>
      </c>
      <c r="EE88" s="12">
        <v>15</v>
      </c>
      <c r="EF88" s="12">
        <v>6</v>
      </c>
      <c r="EG88" s="12">
        <v>0</v>
      </c>
      <c r="EH88" s="12">
        <v>0</v>
      </c>
      <c r="EI88" s="12">
        <v>7</v>
      </c>
      <c r="EJ88" s="12">
        <v>1</v>
      </c>
      <c r="EK88" s="12">
        <v>4</v>
      </c>
      <c r="EL88" s="12">
        <v>9</v>
      </c>
      <c r="EM88" s="12">
        <v>15</v>
      </c>
      <c r="EN88" s="12">
        <v>15</v>
      </c>
      <c r="EO88" s="12">
        <v>12</v>
      </c>
      <c r="EP88" s="12">
        <v>1</v>
      </c>
      <c r="EQ88" s="12">
        <v>9</v>
      </c>
      <c r="ER88" s="12">
        <v>3</v>
      </c>
      <c r="ES88" s="13">
        <v>12</v>
      </c>
      <c r="ET88" s="13">
        <v>5</v>
      </c>
      <c r="EU88" s="13">
        <v>1</v>
      </c>
      <c r="EV88" s="10">
        <v>0</v>
      </c>
      <c r="EW88" s="10">
        <v>0</v>
      </c>
      <c r="EX88" s="10">
        <v>14</v>
      </c>
      <c r="EY88" s="10">
        <v>22</v>
      </c>
      <c r="EZ88" s="10">
        <v>2</v>
      </c>
      <c r="FA88" s="10">
        <v>0</v>
      </c>
      <c r="FB88" s="10">
        <v>0</v>
      </c>
      <c r="FC88" s="10">
        <v>0</v>
      </c>
      <c r="FD88" s="10">
        <v>0</v>
      </c>
      <c r="FE88" s="10">
        <v>0</v>
      </c>
      <c r="FF88" s="10">
        <v>0</v>
      </c>
      <c r="FG88" s="10">
        <v>0</v>
      </c>
      <c r="FH88" s="10">
        <v>3</v>
      </c>
      <c r="FI88" s="10">
        <v>0</v>
      </c>
      <c r="FJ88" s="10">
        <v>1</v>
      </c>
      <c r="FK88" s="81">
        <v>7</v>
      </c>
      <c r="FL88" s="81">
        <v>6</v>
      </c>
      <c r="FM88" s="81">
        <v>11</v>
      </c>
      <c r="FN88" s="81">
        <v>4</v>
      </c>
      <c r="FO88" s="81">
        <v>9</v>
      </c>
      <c r="FP88" s="12">
        <v>7</v>
      </c>
      <c r="FQ88" s="12">
        <v>1</v>
      </c>
      <c r="FR88" s="12">
        <v>6</v>
      </c>
      <c r="FS88" s="12">
        <v>1</v>
      </c>
      <c r="FT88" s="12">
        <v>0</v>
      </c>
      <c r="FU88" s="12">
        <v>0</v>
      </c>
      <c r="FV88" s="12">
        <v>0</v>
      </c>
      <c r="FW88" s="12">
        <v>0</v>
      </c>
      <c r="FX88" s="12">
        <v>18</v>
      </c>
      <c r="FY88" s="12">
        <v>2</v>
      </c>
      <c r="FZ88" s="12">
        <v>0</v>
      </c>
      <c r="GA88" s="12">
        <v>8</v>
      </c>
      <c r="GB88" s="12">
        <v>2</v>
      </c>
      <c r="GC88" s="12">
        <v>1</v>
      </c>
      <c r="GD88" s="12">
        <v>17</v>
      </c>
      <c r="GE88" s="12">
        <v>0</v>
      </c>
      <c r="GF88" s="12">
        <v>9</v>
      </c>
      <c r="GG88" s="12">
        <v>13</v>
      </c>
      <c r="GH88" s="12">
        <v>7</v>
      </c>
      <c r="GI88" s="12">
        <v>0</v>
      </c>
      <c r="GJ88" s="12">
        <v>0</v>
      </c>
      <c r="GK88" s="12">
        <v>0</v>
      </c>
      <c r="GL88" s="12">
        <v>0</v>
      </c>
      <c r="GM88" s="12">
        <v>1</v>
      </c>
      <c r="GN88" s="12">
        <v>2</v>
      </c>
      <c r="GO88" s="12">
        <v>4</v>
      </c>
      <c r="GP88" s="12">
        <v>5</v>
      </c>
      <c r="GQ88" s="12">
        <v>1</v>
      </c>
      <c r="GR88" s="12">
        <v>3</v>
      </c>
      <c r="GS88" s="12">
        <v>1</v>
      </c>
      <c r="GT88" s="12">
        <v>4</v>
      </c>
      <c r="GU88" s="13">
        <v>101</v>
      </c>
      <c r="GV88" s="13">
        <v>30</v>
      </c>
      <c r="GW88" s="13">
        <v>4</v>
      </c>
      <c r="GX88" s="13">
        <v>3</v>
      </c>
      <c r="GY88" s="10">
        <v>0</v>
      </c>
      <c r="GZ88" s="10">
        <v>3</v>
      </c>
      <c r="HA88" s="10">
        <v>18</v>
      </c>
      <c r="HB88" s="10">
        <v>38</v>
      </c>
      <c r="HC88" s="10">
        <v>20</v>
      </c>
      <c r="HD88" s="10">
        <v>0</v>
      </c>
      <c r="HE88" s="10">
        <v>0</v>
      </c>
      <c r="HF88" s="10">
        <v>0</v>
      </c>
      <c r="HG88" s="10">
        <v>1</v>
      </c>
      <c r="HH88" s="10">
        <v>0</v>
      </c>
      <c r="HI88" s="10">
        <v>0</v>
      </c>
      <c r="HJ88" s="10">
        <v>0</v>
      </c>
      <c r="HK88" s="10">
        <v>0</v>
      </c>
      <c r="HL88" s="10">
        <v>2</v>
      </c>
      <c r="HM88" s="10">
        <v>0</v>
      </c>
      <c r="HN88" s="81">
        <v>0</v>
      </c>
      <c r="HO88" s="81">
        <v>4</v>
      </c>
      <c r="HP88" s="81">
        <v>4</v>
      </c>
      <c r="HQ88" s="81">
        <v>0</v>
      </c>
      <c r="HR88" s="81">
        <v>5</v>
      </c>
      <c r="HS88" s="12">
        <v>4</v>
      </c>
      <c r="HT88" s="12">
        <v>0</v>
      </c>
      <c r="HU88" s="12">
        <v>10</v>
      </c>
      <c r="HV88" s="12">
        <v>0</v>
      </c>
      <c r="HW88" s="12">
        <v>5</v>
      </c>
      <c r="HX88" s="12">
        <v>0</v>
      </c>
      <c r="HY88" s="12">
        <v>0</v>
      </c>
      <c r="HZ88" s="12">
        <v>0</v>
      </c>
      <c r="IA88" s="12">
        <v>7</v>
      </c>
      <c r="IB88" s="12">
        <v>6</v>
      </c>
      <c r="IC88" s="12">
        <v>6</v>
      </c>
      <c r="ID88" s="12">
        <v>5</v>
      </c>
      <c r="IE88" s="12">
        <v>0</v>
      </c>
      <c r="IF88" s="12">
        <v>0</v>
      </c>
      <c r="IG88" s="12">
        <v>12</v>
      </c>
      <c r="IH88" s="12">
        <v>2</v>
      </c>
      <c r="II88" s="12">
        <v>4</v>
      </c>
      <c r="IJ88" s="12">
        <v>0</v>
      </c>
      <c r="IK88" s="12">
        <v>2</v>
      </c>
      <c r="IL88" s="12">
        <v>0</v>
      </c>
      <c r="IM88" s="12">
        <v>1</v>
      </c>
      <c r="IN88" s="12">
        <v>0</v>
      </c>
      <c r="IO88" s="12">
        <v>1</v>
      </c>
      <c r="IP88" s="12">
        <v>0</v>
      </c>
      <c r="IQ88" s="12">
        <v>5</v>
      </c>
      <c r="IR88" s="12">
        <v>2</v>
      </c>
      <c r="IS88" s="12">
        <v>7</v>
      </c>
      <c r="IT88" s="12">
        <v>3</v>
      </c>
      <c r="IU88" s="12">
        <v>7</v>
      </c>
      <c r="IV88" s="12">
        <v>9</v>
      </c>
      <c r="IW88" s="12">
        <v>6</v>
      </c>
      <c r="IX88" s="11">
        <v>7000</v>
      </c>
      <c r="IY88" s="11">
        <v>7000</v>
      </c>
      <c r="IZ88" s="11">
        <v>7000</v>
      </c>
      <c r="JA88" s="85" t="s">
        <v>602</v>
      </c>
      <c r="JB88" s="85">
        <v>1</v>
      </c>
      <c r="JC88" s="85" t="s">
        <v>361</v>
      </c>
      <c r="JD88" s="12">
        <v>7</v>
      </c>
      <c r="JE88" s="12">
        <v>5</v>
      </c>
      <c r="JF88" s="12">
        <v>7</v>
      </c>
      <c r="JG88" s="12">
        <v>3</v>
      </c>
      <c r="JH88" s="12">
        <v>7</v>
      </c>
      <c r="JI88" s="12">
        <v>3</v>
      </c>
      <c r="JJ88" s="13" t="s">
        <v>619</v>
      </c>
      <c r="JK88" s="13" t="s">
        <v>620</v>
      </c>
      <c r="JL88" s="13" t="s">
        <v>296</v>
      </c>
      <c r="JM88" s="89"/>
      <c r="JN88" s="89"/>
      <c r="JO88" s="89" t="s">
        <v>296</v>
      </c>
      <c r="JP88" s="89"/>
      <c r="JQ88" s="89"/>
      <c r="JR88" s="89" t="s">
        <v>296</v>
      </c>
      <c r="JS88" s="89" t="s">
        <v>619</v>
      </c>
      <c r="JT88" s="89" t="s">
        <v>619</v>
      </c>
      <c r="JU88" s="89" t="s">
        <v>296</v>
      </c>
      <c r="JV88" s="89"/>
      <c r="JW88" s="89"/>
      <c r="JX88" s="89" t="s">
        <v>297</v>
      </c>
      <c r="JY88" s="12" t="s">
        <v>619</v>
      </c>
      <c r="JZ88" s="12" t="s">
        <v>34</v>
      </c>
      <c r="KA88" s="12" t="s">
        <v>34</v>
      </c>
      <c r="KB88" s="12" t="s">
        <v>34</v>
      </c>
      <c r="KC88" s="12" t="s">
        <v>619</v>
      </c>
      <c r="KD88" s="12" t="s">
        <v>34</v>
      </c>
      <c r="KE88" s="12" t="s">
        <v>34</v>
      </c>
      <c r="KF88" s="12"/>
      <c r="KG88" s="12" t="s">
        <v>34</v>
      </c>
      <c r="KH88" s="12" t="s">
        <v>34</v>
      </c>
      <c r="KI88" s="12" t="s">
        <v>34</v>
      </c>
      <c r="KJ88" s="12" t="s">
        <v>34</v>
      </c>
      <c r="KK88" s="12" t="s">
        <v>34</v>
      </c>
      <c r="KL88" s="12" t="s">
        <v>34</v>
      </c>
      <c r="KM88" s="12" t="s">
        <v>34</v>
      </c>
      <c r="KN88" s="12" t="s">
        <v>619</v>
      </c>
      <c r="KO88" s="12" t="s">
        <v>619</v>
      </c>
      <c r="KP88" s="12" t="s">
        <v>34</v>
      </c>
      <c r="KQ88" s="12" t="s">
        <v>619</v>
      </c>
      <c r="KR88" s="12" t="s">
        <v>34</v>
      </c>
      <c r="KS88" s="12" t="s">
        <v>34</v>
      </c>
      <c r="KT88" s="12" t="s">
        <v>34</v>
      </c>
      <c r="KU88" s="12" t="s">
        <v>34</v>
      </c>
      <c r="KV88" s="12" t="s">
        <v>34</v>
      </c>
      <c r="KW88" s="12" t="s">
        <v>34</v>
      </c>
      <c r="KX88" s="12" t="s">
        <v>34</v>
      </c>
      <c r="KY88" s="12" t="s">
        <v>34</v>
      </c>
      <c r="KZ88" s="12" t="s">
        <v>34</v>
      </c>
      <c r="LA88" s="12" t="s">
        <v>34</v>
      </c>
      <c r="LB88" s="12" t="s">
        <v>619</v>
      </c>
      <c r="LC88" s="12" t="s">
        <v>619</v>
      </c>
      <c r="LD88" s="12" t="s">
        <v>34</v>
      </c>
      <c r="LE88" s="12" t="s">
        <v>34</v>
      </c>
      <c r="LF88" s="12" t="s">
        <v>34</v>
      </c>
      <c r="LG88" s="12" t="s">
        <v>34</v>
      </c>
      <c r="LH88" s="12" t="s">
        <v>34</v>
      </c>
      <c r="LI88" s="12" t="s">
        <v>619</v>
      </c>
      <c r="LJ88" s="12" t="s">
        <v>619</v>
      </c>
      <c r="LK88" s="12" t="s">
        <v>619</v>
      </c>
      <c r="LL88" s="13" t="s">
        <v>619</v>
      </c>
      <c r="LM88" s="13" t="s">
        <v>34</v>
      </c>
      <c r="LN88" s="13" t="s">
        <v>34</v>
      </c>
      <c r="LO88" s="13" t="s">
        <v>34</v>
      </c>
      <c r="LP88" s="90" t="s">
        <v>619</v>
      </c>
      <c r="LQ88" s="13" t="s">
        <v>34</v>
      </c>
      <c r="LR88" s="13" t="s">
        <v>619</v>
      </c>
      <c r="LS88" s="13"/>
      <c r="LT88" s="13" t="s">
        <v>34</v>
      </c>
      <c r="LU88" s="13" t="s">
        <v>34</v>
      </c>
      <c r="LV88" s="13" t="s">
        <v>34</v>
      </c>
      <c r="LW88" s="13" t="s">
        <v>34</v>
      </c>
      <c r="LX88" s="13" t="s">
        <v>34</v>
      </c>
      <c r="LY88" s="13" t="s">
        <v>34</v>
      </c>
      <c r="LZ88" s="13" t="s">
        <v>619</v>
      </c>
      <c r="MA88" s="13" t="s">
        <v>619</v>
      </c>
      <c r="MB88" s="13" t="s">
        <v>619</v>
      </c>
      <c r="MC88" s="13" t="s">
        <v>619</v>
      </c>
      <c r="MD88" s="13" t="s">
        <v>619</v>
      </c>
      <c r="ME88" s="13" t="s">
        <v>619</v>
      </c>
      <c r="MF88" s="13" t="s">
        <v>34</v>
      </c>
      <c r="MG88" s="13" t="s">
        <v>619</v>
      </c>
      <c r="MH88" s="13" t="s">
        <v>34</v>
      </c>
      <c r="MI88" s="13" t="s">
        <v>34</v>
      </c>
      <c r="MJ88" s="13" t="s">
        <v>34</v>
      </c>
      <c r="MK88" s="13" t="s">
        <v>34</v>
      </c>
      <c r="ML88" s="13" t="s">
        <v>34</v>
      </c>
      <c r="MM88" s="13" t="s">
        <v>619</v>
      </c>
      <c r="MN88" s="13" t="s">
        <v>34</v>
      </c>
      <c r="MO88" s="13" t="s">
        <v>619</v>
      </c>
      <c r="MP88" s="13" t="s">
        <v>619</v>
      </c>
      <c r="MQ88" s="13" t="s">
        <v>619</v>
      </c>
      <c r="MR88" s="13" t="s">
        <v>619</v>
      </c>
      <c r="MS88" s="13" t="s">
        <v>34</v>
      </c>
      <c r="MT88" s="13" t="s">
        <v>34</v>
      </c>
      <c r="MU88" s="13" t="s">
        <v>34</v>
      </c>
      <c r="MV88" s="13" t="s">
        <v>619</v>
      </c>
      <c r="MW88" s="13" t="s">
        <v>619</v>
      </c>
      <c r="MX88" s="13" t="s">
        <v>619</v>
      </c>
      <c r="MY88" s="28" t="s">
        <v>296</v>
      </c>
      <c r="MZ88" s="28" t="s">
        <v>296</v>
      </c>
      <c r="NA88" s="28" t="s">
        <v>296</v>
      </c>
      <c r="NB88" s="28" t="s">
        <v>297</v>
      </c>
      <c r="NC88" s="28" t="s">
        <v>296</v>
      </c>
      <c r="ND88" s="28" t="s">
        <v>297</v>
      </c>
      <c r="NE88" s="28" t="s">
        <v>296</v>
      </c>
      <c r="NF88" s="28" t="s">
        <v>296</v>
      </c>
      <c r="NG88" s="28" t="s">
        <v>297</v>
      </c>
      <c r="NH88" s="28" t="s">
        <v>297</v>
      </c>
      <c r="NI88" s="177" t="s">
        <v>296</v>
      </c>
      <c r="NJ88" s="177" t="s">
        <v>297</v>
      </c>
      <c r="NK88" s="177" t="s">
        <v>296</v>
      </c>
      <c r="NL88" s="177" t="s">
        <v>296</v>
      </c>
      <c r="NM88" s="177" t="s">
        <v>296</v>
      </c>
      <c r="NN88" s="177" t="s">
        <v>296</v>
      </c>
      <c r="NO88" s="177" t="s">
        <v>296</v>
      </c>
      <c r="NP88" s="177" t="s">
        <v>296</v>
      </c>
      <c r="NQ88" s="177" t="s">
        <v>296</v>
      </c>
      <c r="NR88" s="12" t="s">
        <v>34</v>
      </c>
      <c r="NS88" s="13" t="s">
        <v>34</v>
      </c>
    </row>
    <row r="89" spans="1:383" x14ac:dyDescent="0.25">
      <c r="A89" s="8" t="s">
        <v>217</v>
      </c>
      <c r="B89" s="9" t="s">
        <v>218</v>
      </c>
      <c r="C89" s="9">
        <v>75</v>
      </c>
      <c r="D89" s="9" t="s">
        <v>70</v>
      </c>
      <c r="E89" s="10">
        <v>141</v>
      </c>
      <c r="F89" s="10">
        <v>145</v>
      </c>
      <c r="G89" s="10">
        <v>142</v>
      </c>
      <c r="H89" s="10">
        <v>131</v>
      </c>
      <c r="I89" s="10">
        <v>108</v>
      </c>
      <c r="J89" s="11">
        <v>509</v>
      </c>
      <c r="K89" s="11">
        <v>516</v>
      </c>
      <c r="L89" s="11">
        <v>538</v>
      </c>
      <c r="M89" s="11">
        <v>525</v>
      </c>
      <c r="N89" s="11">
        <v>422</v>
      </c>
      <c r="O89" s="13">
        <v>7566</v>
      </c>
      <c r="P89" s="13">
        <v>8189</v>
      </c>
      <c r="Q89" s="13">
        <v>8069</v>
      </c>
      <c r="R89" s="13">
        <v>9675</v>
      </c>
      <c r="S89" s="13">
        <v>6866</v>
      </c>
      <c r="T89" s="12">
        <v>1278</v>
      </c>
      <c r="U89" s="12">
        <v>1945</v>
      </c>
      <c r="V89" s="12">
        <v>2345</v>
      </c>
      <c r="W89" s="12">
        <v>3641</v>
      </c>
      <c r="X89" s="12">
        <v>2248</v>
      </c>
      <c r="Y89" s="12">
        <v>5.25</v>
      </c>
      <c r="Z89" s="12">
        <v>5.25</v>
      </c>
      <c r="AA89" s="12">
        <v>5.25</v>
      </c>
      <c r="AB89" s="13">
        <v>4.5999999999999996</v>
      </c>
      <c r="AC89" s="13">
        <v>4.5999999999999996</v>
      </c>
      <c r="AD89" s="13">
        <v>4.5999999999999996</v>
      </c>
      <c r="AE89" s="35" t="s">
        <v>258</v>
      </c>
      <c r="AF89" s="35" t="s">
        <v>258</v>
      </c>
      <c r="AG89" s="35" t="s">
        <v>258</v>
      </c>
      <c r="AH89" s="38">
        <v>1</v>
      </c>
      <c r="AI89" s="38">
        <v>1</v>
      </c>
      <c r="AJ89" s="38">
        <v>1</v>
      </c>
      <c r="AK89" s="45" t="s">
        <v>288</v>
      </c>
      <c r="AL89" s="45" t="s">
        <v>34</v>
      </c>
      <c r="AM89" s="45" t="s">
        <v>34</v>
      </c>
      <c r="AN89" s="45" t="s">
        <v>34</v>
      </c>
      <c r="AO89" s="45" t="s">
        <v>34</v>
      </c>
      <c r="AP89" s="45" t="s">
        <v>292</v>
      </c>
      <c r="AQ89" s="53" t="s">
        <v>296</v>
      </c>
      <c r="AR89" s="56">
        <v>227</v>
      </c>
      <c r="AS89" s="57">
        <v>126</v>
      </c>
      <c r="AT89" s="56">
        <v>302</v>
      </c>
      <c r="AU89" s="57">
        <v>29602</v>
      </c>
      <c r="AV89" s="57">
        <v>20537</v>
      </c>
      <c r="AW89" s="57">
        <v>18347</v>
      </c>
      <c r="AX89" s="57">
        <v>23</v>
      </c>
      <c r="AY89" s="57">
        <v>12</v>
      </c>
      <c r="AZ89" s="57">
        <v>7</v>
      </c>
      <c r="BA89" s="57">
        <v>12576</v>
      </c>
      <c r="BB89" s="57">
        <v>13425</v>
      </c>
      <c r="BC89" s="57">
        <v>8596</v>
      </c>
      <c r="BD89" s="57">
        <v>7012</v>
      </c>
      <c r="BE89" s="57">
        <v>6796</v>
      </c>
      <c r="BF89" s="57">
        <v>5636</v>
      </c>
      <c r="BG89" s="57">
        <v>4022</v>
      </c>
      <c r="BH89" s="57">
        <v>5014</v>
      </c>
      <c r="BI89" s="57">
        <v>5594</v>
      </c>
      <c r="BJ89" s="57" t="s">
        <v>297</v>
      </c>
      <c r="BK89" s="57">
        <v>33</v>
      </c>
      <c r="BL89" s="57">
        <v>0</v>
      </c>
      <c r="BM89" s="57">
        <v>0</v>
      </c>
      <c r="BN89" s="57">
        <v>3000</v>
      </c>
      <c r="BO89" s="57">
        <v>3500</v>
      </c>
      <c r="BP89" s="57">
        <v>3500</v>
      </c>
      <c r="BQ89" s="76">
        <v>256</v>
      </c>
      <c r="BR89" s="76">
        <v>254</v>
      </c>
      <c r="BS89">
        <v>252</v>
      </c>
      <c r="BT89">
        <v>252</v>
      </c>
      <c r="BU89">
        <v>252</v>
      </c>
      <c r="BV89">
        <v>29944</v>
      </c>
      <c r="BW89">
        <v>29703</v>
      </c>
      <c r="BX89">
        <v>29397</v>
      </c>
      <c r="BY89">
        <v>28975</v>
      </c>
      <c r="BZ89">
        <v>28372</v>
      </c>
      <c r="CA89">
        <v>154</v>
      </c>
      <c r="CB89">
        <v>171</v>
      </c>
      <c r="CC89">
        <v>175</v>
      </c>
      <c r="CD89">
        <v>170</v>
      </c>
      <c r="CE89">
        <v>140</v>
      </c>
      <c r="CF89">
        <v>8844</v>
      </c>
      <c r="CG89">
        <v>10134</v>
      </c>
      <c r="CH89">
        <v>10414</v>
      </c>
      <c r="CI89">
        <v>13316</v>
      </c>
      <c r="CJ89">
        <v>9114</v>
      </c>
      <c r="CK89" s="10">
        <v>36</v>
      </c>
      <c r="CL89" s="10">
        <v>36</v>
      </c>
      <c r="CM89" s="10">
        <v>36</v>
      </c>
      <c r="CN89" s="11">
        <v>18.5</v>
      </c>
      <c r="CO89" s="11">
        <v>18.5</v>
      </c>
      <c r="CP89" s="11">
        <v>18.5</v>
      </c>
      <c r="CQ89" s="13">
        <v>60</v>
      </c>
      <c r="CR89" s="13">
        <v>12</v>
      </c>
      <c r="CS89" s="13">
        <v>0</v>
      </c>
      <c r="CT89" s="10">
        <v>0</v>
      </c>
      <c r="CU89" s="10">
        <v>1</v>
      </c>
      <c r="CV89" s="10">
        <v>4</v>
      </c>
      <c r="CW89" s="10">
        <v>2</v>
      </c>
      <c r="CX89" s="10">
        <v>1</v>
      </c>
      <c r="CY89" s="10">
        <v>0</v>
      </c>
      <c r="CZ89" s="10">
        <v>0</v>
      </c>
      <c r="DA89" s="10">
        <v>0</v>
      </c>
      <c r="DB89" s="10">
        <v>0</v>
      </c>
      <c r="DC89" s="10">
        <v>0</v>
      </c>
      <c r="DD89" s="10">
        <v>0</v>
      </c>
      <c r="DE89" s="10">
        <v>0</v>
      </c>
      <c r="DF89" s="10">
        <v>2</v>
      </c>
      <c r="DG89" s="10">
        <v>1</v>
      </c>
      <c r="DH89" s="10">
        <v>0</v>
      </c>
      <c r="DI89" s="81">
        <v>20</v>
      </c>
      <c r="DJ89" s="81">
        <v>19</v>
      </c>
      <c r="DK89" s="81">
        <v>0</v>
      </c>
      <c r="DL89" s="81">
        <v>0</v>
      </c>
      <c r="DM89" s="81">
        <v>32</v>
      </c>
      <c r="DN89" s="12">
        <v>3</v>
      </c>
      <c r="DO89" s="12">
        <v>0</v>
      </c>
      <c r="DP89" s="12">
        <v>4</v>
      </c>
      <c r="DQ89" s="12">
        <v>0</v>
      </c>
      <c r="DR89" s="12">
        <v>0</v>
      </c>
      <c r="DS89" s="12">
        <v>0</v>
      </c>
      <c r="DT89" s="12">
        <v>0</v>
      </c>
      <c r="DU89" s="12">
        <v>0</v>
      </c>
      <c r="DV89" s="12">
        <v>26</v>
      </c>
      <c r="DW89" s="12">
        <v>1</v>
      </c>
      <c r="DX89" s="12">
        <v>2</v>
      </c>
      <c r="DY89" s="12">
        <v>9</v>
      </c>
      <c r="DZ89" s="12">
        <v>2</v>
      </c>
      <c r="EA89" s="12">
        <v>0</v>
      </c>
      <c r="EB89" s="12">
        <v>26</v>
      </c>
      <c r="EC89" s="12">
        <v>0</v>
      </c>
      <c r="ED89" s="12">
        <v>47</v>
      </c>
      <c r="EE89" s="12">
        <v>2</v>
      </c>
      <c r="EF89" s="12">
        <v>2</v>
      </c>
      <c r="EG89" s="12">
        <v>0</v>
      </c>
      <c r="EH89" s="12">
        <v>0</v>
      </c>
      <c r="EI89" s="12">
        <v>1</v>
      </c>
      <c r="EJ89" s="12">
        <v>0</v>
      </c>
      <c r="EK89" s="12">
        <v>0</v>
      </c>
      <c r="EL89" s="12">
        <v>4</v>
      </c>
      <c r="EM89" s="12">
        <v>2</v>
      </c>
      <c r="EN89" s="12">
        <v>2</v>
      </c>
      <c r="EO89" s="12">
        <v>1</v>
      </c>
      <c r="EP89" s="12">
        <v>1</v>
      </c>
      <c r="EQ89" s="12">
        <v>2</v>
      </c>
      <c r="ER89" s="12">
        <v>0</v>
      </c>
      <c r="ES89" s="13">
        <v>1</v>
      </c>
      <c r="ET89" s="13">
        <v>11</v>
      </c>
      <c r="EU89" s="13">
        <v>0</v>
      </c>
      <c r="EV89" s="10">
        <v>0</v>
      </c>
      <c r="EW89" s="10">
        <v>0</v>
      </c>
      <c r="EX89" s="10">
        <v>1</v>
      </c>
      <c r="EY89" s="10">
        <v>6</v>
      </c>
      <c r="EZ89" s="10">
        <v>1</v>
      </c>
      <c r="FA89" s="10">
        <v>0</v>
      </c>
      <c r="FB89" s="10">
        <v>0</v>
      </c>
      <c r="FC89" s="10">
        <v>0</v>
      </c>
      <c r="FD89" s="10">
        <v>0</v>
      </c>
      <c r="FE89" s="10">
        <v>0</v>
      </c>
      <c r="FF89" s="10">
        <v>0</v>
      </c>
      <c r="FG89" s="10">
        <v>0</v>
      </c>
      <c r="FH89" s="10">
        <v>0</v>
      </c>
      <c r="FI89" s="10">
        <v>0</v>
      </c>
      <c r="FJ89" s="10">
        <v>0</v>
      </c>
      <c r="FK89" s="81">
        <v>19</v>
      </c>
      <c r="FL89" s="81">
        <v>19</v>
      </c>
      <c r="FM89" s="81">
        <v>0</v>
      </c>
      <c r="FN89" s="81">
        <v>0</v>
      </c>
      <c r="FO89" s="81">
        <v>45</v>
      </c>
      <c r="FP89" s="12">
        <v>2</v>
      </c>
      <c r="FQ89" s="12">
        <v>1</v>
      </c>
      <c r="FR89" s="12">
        <v>1</v>
      </c>
      <c r="FS89" s="12">
        <v>0</v>
      </c>
      <c r="FT89" s="12">
        <v>0</v>
      </c>
      <c r="FU89" s="12">
        <v>0</v>
      </c>
      <c r="FV89" s="12">
        <v>0</v>
      </c>
      <c r="FW89" s="12">
        <v>0</v>
      </c>
      <c r="FX89" s="12">
        <v>28</v>
      </c>
      <c r="FY89" s="12">
        <v>0</v>
      </c>
      <c r="FZ89" s="12">
        <v>0</v>
      </c>
      <c r="GA89" s="12">
        <v>8</v>
      </c>
      <c r="GB89" s="12">
        <v>3</v>
      </c>
      <c r="GC89" s="12">
        <v>0</v>
      </c>
      <c r="GD89" s="12">
        <v>19</v>
      </c>
      <c r="GE89" s="12">
        <v>0</v>
      </c>
      <c r="GF89" s="12">
        <v>18</v>
      </c>
      <c r="GG89" s="12">
        <v>2</v>
      </c>
      <c r="GH89" s="12">
        <v>4</v>
      </c>
      <c r="GI89" s="12">
        <v>0</v>
      </c>
      <c r="GJ89" s="12">
        <v>0</v>
      </c>
      <c r="GK89" s="12">
        <v>2</v>
      </c>
      <c r="GL89" s="12">
        <v>2</v>
      </c>
      <c r="GM89" s="12">
        <v>0</v>
      </c>
      <c r="GN89" s="12">
        <v>2</v>
      </c>
      <c r="GO89" s="12">
        <v>3</v>
      </c>
      <c r="GP89" s="12">
        <v>2</v>
      </c>
      <c r="GQ89" s="12">
        <v>1</v>
      </c>
      <c r="GR89" s="12">
        <v>0</v>
      </c>
      <c r="GS89" s="12">
        <v>3</v>
      </c>
      <c r="GT89" s="12">
        <v>0</v>
      </c>
      <c r="GU89" s="13">
        <v>126</v>
      </c>
      <c r="GV89" s="13">
        <v>124</v>
      </c>
      <c r="GW89" s="13">
        <v>10</v>
      </c>
      <c r="GX89" s="13">
        <v>0</v>
      </c>
      <c r="GY89" s="10">
        <v>0</v>
      </c>
      <c r="GZ89" s="10">
        <v>0</v>
      </c>
      <c r="HA89" s="10">
        <v>55</v>
      </c>
      <c r="HB89" s="10">
        <v>24</v>
      </c>
      <c r="HC89" s="10">
        <v>10</v>
      </c>
      <c r="HD89" s="10">
        <v>2</v>
      </c>
      <c r="HE89" s="10">
        <v>0</v>
      </c>
      <c r="HF89" s="10">
        <v>0</v>
      </c>
      <c r="HG89" s="10">
        <v>1</v>
      </c>
      <c r="HH89" s="10">
        <v>0</v>
      </c>
      <c r="HI89" s="10">
        <v>35</v>
      </c>
      <c r="HJ89" s="10">
        <v>0</v>
      </c>
      <c r="HK89" s="10">
        <v>35</v>
      </c>
      <c r="HL89" s="10">
        <v>0</v>
      </c>
      <c r="HM89" s="10">
        <v>57</v>
      </c>
      <c r="HN89" s="81">
        <v>0</v>
      </c>
      <c r="HO89" s="81">
        <v>1</v>
      </c>
      <c r="HP89" s="81">
        <v>0</v>
      </c>
      <c r="HQ89" s="81">
        <v>0</v>
      </c>
      <c r="HR89" s="81">
        <v>1</v>
      </c>
      <c r="HS89" s="12">
        <v>0</v>
      </c>
      <c r="HT89" s="12">
        <v>0</v>
      </c>
      <c r="HU89" s="12">
        <v>0</v>
      </c>
      <c r="HV89" s="12">
        <v>0</v>
      </c>
      <c r="HW89" s="12">
        <v>0</v>
      </c>
      <c r="HX89" s="12">
        <v>0</v>
      </c>
      <c r="HY89" s="12">
        <v>0</v>
      </c>
      <c r="HZ89" s="12">
        <v>0</v>
      </c>
      <c r="IA89" s="12">
        <v>1</v>
      </c>
      <c r="IB89" s="12">
        <v>0</v>
      </c>
      <c r="IC89" s="12">
        <v>0</v>
      </c>
      <c r="ID89" s="12">
        <v>0</v>
      </c>
      <c r="IE89" s="12">
        <v>1</v>
      </c>
      <c r="IF89" s="12">
        <v>0</v>
      </c>
      <c r="IG89" s="12">
        <v>1</v>
      </c>
      <c r="IH89" s="12">
        <v>0</v>
      </c>
      <c r="II89" s="12">
        <v>117</v>
      </c>
      <c r="IJ89" s="12">
        <v>0</v>
      </c>
      <c r="IK89" s="12">
        <v>2</v>
      </c>
      <c r="IL89" s="12">
        <v>0</v>
      </c>
      <c r="IM89" s="12">
        <v>0</v>
      </c>
      <c r="IN89" s="12">
        <v>1</v>
      </c>
      <c r="IO89" s="12">
        <v>0</v>
      </c>
      <c r="IP89" s="12">
        <v>0</v>
      </c>
      <c r="IQ89" s="12">
        <v>0</v>
      </c>
      <c r="IR89" s="12">
        <v>1</v>
      </c>
      <c r="IS89" s="12">
        <v>0</v>
      </c>
      <c r="IT89" s="12">
        <v>0</v>
      </c>
      <c r="IU89" s="12">
        <v>2</v>
      </c>
      <c r="IV89" s="12">
        <v>2</v>
      </c>
      <c r="IW89" s="12">
        <v>0</v>
      </c>
      <c r="IX89" s="11">
        <v>4950</v>
      </c>
      <c r="IY89" s="11">
        <v>5500</v>
      </c>
      <c r="IZ89" s="11">
        <v>5500</v>
      </c>
      <c r="JA89" s="85" t="s">
        <v>602</v>
      </c>
      <c r="JB89" s="85">
        <v>1</v>
      </c>
      <c r="JC89" s="85">
        <v>1</v>
      </c>
      <c r="JD89" s="12">
        <v>6</v>
      </c>
      <c r="JE89" s="12">
        <v>6</v>
      </c>
      <c r="JF89" s="12">
        <v>6</v>
      </c>
      <c r="JG89" s="12">
        <v>6</v>
      </c>
      <c r="JH89" s="12">
        <v>6</v>
      </c>
      <c r="JI89" s="12">
        <v>6</v>
      </c>
      <c r="JJ89" s="13" t="s">
        <v>619</v>
      </c>
      <c r="JK89" s="13" t="s">
        <v>619</v>
      </c>
      <c r="JL89" s="13" t="s">
        <v>296</v>
      </c>
      <c r="JM89" s="89"/>
      <c r="JN89" s="89"/>
      <c r="JO89" s="89" t="s">
        <v>296</v>
      </c>
      <c r="JP89" s="89"/>
      <c r="JQ89" s="89"/>
      <c r="JR89" s="89" t="s">
        <v>296</v>
      </c>
      <c r="JS89" s="89" t="s">
        <v>619</v>
      </c>
      <c r="JT89" s="89" t="s">
        <v>619</v>
      </c>
      <c r="JU89" s="89" t="s">
        <v>296</v>
      </c>
      <c r="JV89" s="89"/>
      <c r="JW89" s="89"/>
      <c r="JX89" s="89" t="s">
        <v>297</v>
      </c>
      <c r="JY89" s="12" t="s">
        <v>619</v>
      </c>
      <c r="JZ89" s="12" t="s">
        <v>34</v>
      </c>
      <c r="KA89" s="12" t="s">
        <v>619</v>
      </c>
      <c r="KB89" s="12" t="s">
        <v>34</v>
      </c>
      <c r="KC89" s="12" t="s">
        <v>619</v>
      </c>
      <c r="KD89" s="12" t="s">
        <v>34</v>
      </c>
      <c r="KE89" s="12" t="s">
        <v>619</v>
      </c>
      <c r="KF89" s="12"/>
      <c r="KG89" s="12" t="s">
        <v>34</v>
      </c>
      <c r="KH89" s="12" t="s">
        <v>34</v>
      </c>
      <c r="KI89" s="12" t="s">
        <v>34</v>
      </c>
      <c r="KJ89" s="12" t="s">
        <v>34</v>
      </c>
      <c r="KK89" s="12" t="s">
        <v>619</v>
      </c>
      <c r="KL89" s="12" t="s">
        <v>34</v>
      </c>
      <c r="KM89" s="12" t="s">
        <v>619</v>
      </c>
      <c r="KN89" s="12" t="s">
        <v>619</v>
      </c>
      <c r="KO89" s="12" t="s">
        <v>619</v>
      </c>
      <c r="KP89" s="12" t="s">
        <v>34</v>
      </c>
      <c r="KQ89" s="12" t="s">
        <v>619</v>
      </c>
      <c r="KR89" s="12" t="s">
        <v>619</v>
      </c>
      <c r="KS89" s="12" t="s">
        <v>34</v>
      </c>
      <c r="KT89" s="12" t="s">
        <v>619</v>
      </c>
      <c r="KU89" s="12" t="s">
        <v>34</v>
      </c>
      <c r="KV89" s="12" t="s">
        <v>34</v>
      </c>
      <c r="KW89" s="12" t="s">
        <v>34</v>
      </c>
      <c r="KX89" s="12" t="s">
        <v>619</v>
      </c>
      <c r="KY89" s="12" t="s">
        <v>619</v>
      </c>
      <c r="KZ89" s="12" t="s">
        <v>34</v>
      </c>
      <c r="LA89" s="12" t="s">
        <v>34</v>
      </c>
      <c r="LB89" s="12" t="s">
        <v>619</v>
      </c>
      <c r="LC89" s="12" t="s">
        <v>34</v>
      </c>
      <c r="LD89" s="12" t="s">
        <v>619</v>
      </c>
      <c r="LE89" s="12" t="s">
        <v>619</v>
      </c>
      <c r="LF89" s="12" t="s">
        <v>34</v>
      </c>
      <c r="LG89" s="12" t="s">
        <v>34</v>
      </c>
      <c r="LH89" s="12" t="s">
        <v>34</v>
      </c>
      <c r="LI89" s="12" t="s">
        <v>619</v>
      </c>
      <c r="LJ89" s="12" t="s">
        <v>619</v>
      </c>
      <c r="LK89" s="12" t="s">
        <v>34</v>
      </c>
      <c r="LL89" s="13" t="s">
        <v>619</v>
      </c>
      <c r="LM89" s="13" t="s">
        <v>34</v>
      </c>
      <c r="LN89" s="13" t="s">
        <v>619</v>
      </c>
      <c r="LO89" s="13" t="s">
        <v>34</v>
      </c>
      <c r="LP89" s="90" t="s">
        <v>619</v>
      </c>
      <c r="LQ89" s="13" t="s">
        <v>34</v>
      </c>
      <c r="LR89" s="13" t="s">
        <v>34</v>
      </c>
      <c r="LS89" s="13"/>
      <c r="LT89" s="13" t="s">
        <v>34</v>
      </c>
      <c r="LU89" s="13" t="s">
        <v>34</v>
      </c>
      <c r="LV89" s="13" t="s">
        <v>34</v>
      </c>
      <c r="LW89" s="13" t="s">
        <v>34</v>
      </c>
      <c r="LX89" s="13" t="s">
        <v>34</v>
      </c>
      <c r="LY89" s="13" t="s">
        <v>34</v>
      </c>
      <c r="LZ89" s="13" t="s">
        <v>619</v>
      </c>
      <c r="MA89" s="13" t="s">
        <v>619</v>
      </c>
      <c r="MB89" s="13" t="s">
        <v>619</v>
      </c>
      <c r="MC89" s="13" t="s">
        <v>34</v>
      </c>
      <c r="MD89" s="13" t="s">
        <v>619</v>
      </c>
      <c r="ME89" s="13" t="s">
        <v>34</v>
      </c>
      <c r="MF89" s="13" t="s">
        <v>34</v>
      </c>
      <c r="MG89" s="13" t="s">
        <v>619</v>
      </c>
      <c r="MH89" s="13" t="s">
        <v>34</v>
      </c>
      <c r="MI89" s="13" t="s">
        <v>619</v>
      </c>
      <c r="MJ89" s="13" t="s">
        <v>34</v>
      </c>
      <c r="MK89" s="13" t="s">
        <v>34</v>
      </c>
      <c r="ML89" s="13" t="s">
        <v>619</v>
      </c>
      <c r="MM89" s="13" t="s">
        <v>34</v>
      </c>
      <c r="MN89" s="13" t="s">
        <v>34</v>
      </c>
      <c r="MO89" s="13" t="s">
        <v>619</v>
      </c>
      <c r="MP89" s="13" t="s">
        <v>34</v>
      </c>
      <c r="MQ89" s="13" t="s">
        <v>619</v>
      </c>
      <c r="MR89" s="13" t="s">
        <v>619</v>
      </c>
      <c r="MS89" s="13" t="s">
        <v>34</v>
      </c>
      <c r="MT89" s="13" t="s">
        <v>34</v>
      </c>
      <c r="MU89" s="13" t="s">
        <v>34</v>
      </c>
      <c r="MV89" s="13" t="s">
        <v>34</v>
      </c>
      <c r="MW89" s="13" t="s">
        <v>619</v>
      </c>
      <c r="MX89" s="13" t="s">
        <v>34</v>
      </c>
      <c r="MY89" s="28" t="s">
        <v>296</v>
      </c>
      <c r="MZ89" s="28" t="s">
        <v>296</v>
      </c>
      <c r="NA89" s="28" t="s">
        <v>296</v>
      </c>
      <c r="NB89" s="28" t="s">
        <v>296</v>
      </c>
      <c r="NC89" s="28" t="s">
        <v>296</v>
      </c>
      <c r="ND89" s="28" t="s">
        <v>296</v>
      </c>
      <c r="NE89" s="28" t="s">
        <v>296</v>
      </c>
      <c r="NF89" s="28" t="s">
        <v>297</v>
      </c>
      <c r="NG89" s="28" t="s">
        <v>297</v>
      </c>
      <c r="NH89" s="28" t="s">
        <v>297</v>
      </c>
      <c r="NI89" s="177" t="s">
        <v>296</v>
      </c>
      <c r="NJ89" s="177" t="s">
        <v>297</v>
      </c>
      <c r="NK89" s="177" t="s">
        <v>296</v>
      </c>
      <c r="NL89" s="177" t="s">
        <v>296</v>
      </c>
      <c r="NM89" s="177" t="s">
        <v>296</v>
      </c>
      <c r="NN89" s="177" t="s">
        <v>296</v>
      </c>
      <c r="NO89" s="177" t="s">
        <v>296</v>
      </c>
      <c r="NP89" s="177" t="s">
        <v>297</v>
      </c>
      <c r="NQ89" s="177" t="s">
        <v>296</v>
      </c>
      <c r="NR89" s="12" t="s">
        <v>34</v>
      </c>
      <c r="NS89" s="13" t="s">
        <v>34</v>
      </c>
    </row>
    <row r="90" spans="1:383" x14ac:dyDescent="0.25">
      <c r="A90" s="8" t="s">
        <v>219</v>
      </c>
      <c r="B90" s="9" t="s">
        <v>220</v>
      </c>
      <c r="C90" s="9">
        <v>44</v>
      </c>
      <c r="D90" s="9" t="s">
        <v>51</v>
      </c>
      <c r="E90" s="10">
        <v>90</v>
      </c>
      <c r="F90" s="10">
        <v>83</v>
      </c>
      <c r="G90" s="10">
        <v>79</v>
      </c>
      <c r="H90" s="10">
        <v>78</v>
      </c>
      <c r="I90" s="10">
        <v>55</v>
      </c>
      <c r="J90" s="11">
        <v>619</v>
      </c>
      <c r="K90" s="11">
        <v>625</v>
      </c>
      <c r="L90" s="11">
        <v>566</v>
      </c>
      <c r="M90" s="11">
        <v>513</v>
      </c>
      <c r="N90" s="11">
        <v>206</v>
      </c>
      <c r="O90" s="13">
        <v>6013</v>
      </c>
      <c r="P90" s="13">
        <v>5847</v>
      </c>
      <c r="Q90" s="13">
        <v>5385</v>
      </c>
      <c r="R90" s="13">
        <v>5160</v>
      </c>
      <c r="S90" s="13">
        <v>1404</v>
      </c>
      <c r="T90" s="12">
        <v>3027</v>
      </c>
      <c r="U90" s="12">
        <v>2782</v>
      </c>
      <c r="V90" s="12">
        <v>2659</v>
      </c>
      <c r="W90" s="12">
        <v>2492</v>
      </c>
      <c r="X90" s="12">
        <v>476</v>
      </c>
      <c r="Y90" s="12">
        <v>4.5</v>
      </c>
      <c r="Z90" s="12">
        <v>4.5</v>
      </c>
      <c r="AA90" s="12">
        <v>4.5</v>
      </c>
      <c r="AB90" s="13">
        <v>4.0999999999999996</v>
      </c>
      <c r="AC90" s="13">
        <v>4.5</v>
      </c>
      <c r="AD90" s="13">
        <v>4.5</v>
      </c>
      <c r="AE90" s="35" t="s">
        <v>259</v>
      </c>
      <c r="AF90" s="35" t="s">
        <v>259</v>
      </c>
      <c r="AG90" s="35" t="s">
        <v>259</v>
      </c>
      <c r="AH90" s="38">
        <v>0.75</v>
      </c>
      <c r="AI90" s="38">
        <v>0.75</v>
      </c>
      <c r="AJ90" s="38">
        <v>0.5</v>
      </c>
      <c r="AK90" s="45" t="s">
        <v>34</v>
      </c>
      <c r="AL90" s="45" t="s">
        <v>34</v>
      </c>
      <c r="AM90" s="45" t="s">
        <v>34</v>
      </c>
      <c r="AN90" s="45" t="s">
        <v>293</v>
      </c>
      <c r="AO90" s="45" t="s">
        <v>34</v>
      </c>
      <c r="AP90" s="45" t="s">
        <v>34</v>
      </c>
      <c r="AQ90" s="53" t="s">
        <v>297</v>
      </c>
      <c r="AR90" s="56">
        <v>288</v>
      </c>
      <c r="AS90" s="57">
        <v>244</v>
      </c>
      <c r="AT90" s="56">
        <v>91</v>
      </c>
      <c r="AU90" s="57">
        <v>23154</v>
      </c>
      <c r="AV90" s="57">
        <v>23219</v>
      </c>
      <c r="AW90" s="57">
        <v>2170</v>
      </c>
      <c r="AX90" s="57">
        <v>7</v>
      </c>
      <c r="AY90" s="57">
        <v>1</v>
      </c>
      <c r="AZ90" s="57">
        <v>0</v>
      </c>
      <c r="BA90" s="57">
        <v>8487</v>
      </c>
      <c r="BB90" s="57">
        <v>8168</v>
      </c>
      <c r="BC90" s="57">
        <v>7746</v>
      </c>
      <c r="BD90" s="57">
        <v>6457</v>
      </c>
      <c r="BE90" s="57">
        <v>7407</v>
      </c>
      <c r="BF90" s="57">
        <v>5614</v>
      </c>
      <c r="BG90" s="57">
        <v>597</v>
      </c>
      <c r="BH90" s="57">
        <v>2005</v>
      </c>
      <c r="BI90" s="57">
        <v>1997</v>
      </c>
      <c r="BJ90" s="57" t="s">
        <v>296</v>
      </c>
      <c r="BK90" s="57">
        <v>6</v>
      </c>
      <c r="BL90" s="57">
        <v>0</v>
      </c>
      <c r="BM90" s="57">
        <v>0</v>
      </c>
      <c r="BN90" s="57">
        <v>300</v>
      </c>
      <c r="BO90" s="57">
        <v>325</v>
      </c>
      <c r="BP90" s="57">
        <v>150</v>
      </c>
      <c r="BQ90" s="76">
        <v>372</v>
      </c>
      <c r="BR90" s="76">
        <v>361</v>
      </c>
      <c r="BS90">
        <v>338</v>
      </c>
      <c r="BT90">
        <v>338</v>
      </c>
      <c r="BU90">
        <v>333</v>
      </c>
      <c r="BV90">
        <v>31201</v>
      </c>
      <c r="BW90">
        <v>30367</v>
      </c>
      <c r="BX90">
        <v>29675</v>
      </c>
      <c r="BY90">
        <v>28883</v>
      </c>
      <c r="BZ90">
        <v>28088</v>
      </c>
      <c r="CA90">
        <v>150</v>
      </c>
      <c r="CB90">
        <v>119</v>
      </c>
      <c r="CC90">
        <v>150</v>
      </c>
      <c r="CD90">
        <v>110</v>
      </c>
      <c r="CE90">
        <v>50</v>
      </c>
      <c r="CF90">
        <v>9040</v>
      </c>
      <c r="CG90">
        <v>8629</v>
      </c>
      <c r="CH90">
        <v>8044</v>
      </c>
      <c r="CI90">
        <v>7652</v>
      </c>
      <c r="CJ90">
        <v>1880</v>
      </c>
      <c r="CK90" s="10">
        <v>40</v>
      </c>
      <c r="CL90" s="10">
        <v>40</v>
      </c>
      <c r="CM90" s="10">
        <v>40</v>
      </c>
      <c r="CN90" s="11">
        <v>17.5</v>
      </c>
      <c r="CO90" s="11">
        <v>17.5</v>
      </c>
      <c r="CP90" s="11">
        <v>17.5</v>
      </c>
      <c r="CQ90" s="13">
        <v>50</v>
      </c>
      <c r="CR90" s="13">
        <v>13</v>
      </c>
      <c r="CS90" s="13">
        <v>14</v>
      </c>
      <c r="CT90" s="10">
        <v>0</v>
      </c>
      <c r="CU90" s="10">
        <v>5</v>
      </c>
      <c r="CV90" s="10">
        <v>11</v>
      </c>
      <c r="CW90" s="10">
        <v>16</v>
      </c>
      <c r="CX90" s="10">
        <v>2</v>
      </c>
      <c r="CY90" s="10">
        <v>3</v>
      </c>
      <c r="CZ90" s="10">
        <v>4</v>
      </c>
      <c r="DA90" s="10">
        <v>4</v>
      </c>
      <c r="DB90" s="10">
        <v>6</v>
      </c>
      <c r="DC90" s="10">
        <v>0</v>
      </c>
      <c r="DD90" s="10">
        <v>2</v>
      </c>
      <c r="DE90" s="10">
        <v>1</v>
      </c>
      <c r="DF90" s="10">
        <v>24</v>
      </c>
      <c r="DG90" s="10">
        <v>0</v>
      </c>
      <c r="DH90" s="10">
        <v>22</v>
      </c>
      <c r="DI90" s="81">
        <v>5</v>
      </c>
      <c r="DJ90" s="81">
        <v>27</v>
      </c>
      <c r="DK90" s="81">
        <v>0</v>
      </c>
      <c r="DL90" s="81">
        <v>4</v>
      </c>
      <c r="DM90" s="81">
        <v>64</v>
      </c>
      <c r="DN90" s="12">
        <v>0</v>
      </c>
      <c r="DO90" s="12">
        <v>7</v>
      </c>
      <c r="DP90" s="12">
        <v>5</v>
      </c>
      <c r="DQ90" s="12">
        <v>0</v>
      </c>
      <c r="DR90" s="12">
        <v>0</v>
      </c>
      <c r="DS90" s="12">
        <v>0</v>
      </c>
      <c r="DT90" s="12">
        <v>9</v>
      </c>
      <c r="DU90" s="12">
        <v>0</v>
      </c>
      <c r="DV90" s="12">
        <v>42</v>
      </c>
      <c r="DW90" s="12">
        <v>1</v>
      </c>
      <c r="DX90" s="12">
        <v>0</v>
      </c>
      <c r="DY90" s="12">
        <v>15</v>
      </c>
      <c r="DZ90" s="12">
        <v>9</v>
      </c>
      <c r="EA90" s="12">
        <v>0</v>
      </c>
      <c r="EB90" s="12">
        <v>34</v>
      </c>
      <c r="EC90" s="12">
        <v>0</v>
      </c>
      <c r="ED90" s="12">
        <v>21</v>
      </c>
      <c r="EE90" s="12">
        <v>1</v>
      </c>
      <c r="EF90" s="12">
        <v>6</v>
      </c>
      <c r="EG90" s="12">
        <v>0</v>
      </c>
      <c r="EH90" s="12">
        <v>0</v>
      </c>
      <c r="EI90" s="12">
        <v>0</v>
      </c>
      <c r="EJ90" s="12">
        <v>0</v>
      </c>
      <c r="EK90" s="12">
        <v>26</v>
      </c>
      <c r="EL90" s="12">
        <v>19</v>
      </c>
      <c r="EM90" s="12">
        <v>2</v>
      </c>
      <c r="EN90" s="12">
        <v>0</v>
      </c>
      <c r="EO90" s="12">
        <v>0</v>
      </c>
      <c r="EP90" s="12">
        <v>4</v>
      </c>
      <c r="EQ90" s="12">
        <v>10</v>
      </c>
      <c r="ER90" s="12">
        <v>0</v>
      </c>
      <c r="ES90" s="13">
        <v>15</v>
      </c>
      <c r="ET90" s="13">
        <v>7</v>
      </c>
      <c r="EU90" s="13">
        <v>14</v>
      </c>
      <c r="EV90" s="10">
        <v>0</v>
      </c>
      <c r="EW90" s="10">
        <v>0</v>
      </c>
      <c r="EX90" s="10">
        <v>11</v>
      </c>
      <c r="EY90" s="10">
        <v>3</v>
      </c>
      <c r="EZ90" s="10">
        <v>5</v>
      </c>
      <c r="FA90" s="10">
        <v>1</v>
      </c>
      <c r="FB90" s="10">
        <v>0</v>
      </c>
      <c r="FC90" s="10">
        <v>0</v>
      </c>
      <c r="FD90" s="10">
        <v>3</v>
      </c>
      <c r="FE90" s="10">
        <v>1</v>
      </c>
      <c r="FF90" s="10">
        <v>1</v>
      </c>
      <c r="FG90" s="10">
        <v>0</v>
      </c>
      <c r="FH90" s="10">
        <v>6</v>
      </c>
      <c r="FI90" s="10">
        <v>0</v>
      </c>
      <c r="FJ90" s="10">
        <v>0</v>
      </c>
      <c r="FK90" s="81">
        <v>14</v>
      </c>
      <c r="FL90" s="81">
        <v>6</v>
      </c>
      <c r="FM90" s="81">
        <v>14</v>
      </c>
      <c r="FN90" s="81">
        <v>16</v>
      </c>
      <c r="FO90" s="81">
        <v>67</v>
      </c>
      <c r="FP90" s="12">
        <v>0</v>
      </c>
      <c r="FQ90" s="12">
        <v>0</v>
      </c>
      <c r="FR90" s="12">
        <v>19</v>
      </c>
      <c r="FS90" s="12">
        <v>1</v>
      </c>
      <c r="FT90" s="12">
        <v>0</v>
      </c>
      <c r="FU90" s="12">
        <v>1</v>
      </c>
      <c r="FV90" s="12">
        <v>7</v>
      </c>
      <c r="FW90" s="12">
        <v>0</v>
      </c>
      <c r="FX90" s="12">
        <v>5</v>
      </c>
      <c r="FY90" s="12">
        <v>3</v>
      </c>
      <c r="FZ90" s="12">
        <v>0</v>
      </c>
      <c r="GA90" s="12">
        <v>5</v>
      </c>
      <c r="GB90" s="12">
        <v>5</v>
      </c>
      <c r="GC90" s="12">
        <v>0</v>
      </c>
      <c r="GD90" s="12">
        <v>14</v>
      </c>
      <c r="GE90" s="12">
        <v>0</v>
      </c>
      <c r="GF90" s="12">
        <v>32</v>
      </c>
      <c r="GG90" s="12">
        <v>0</v>
      </c>
      <c r="GH90" s="12">
        <v>5</v>
      </c>
      <c r="GI90" s="12">
        <v>0</v>
      </c>
      <c r="GJ90" s="12">
        <v>0</v>
      </c>
      <c r="GK90" s="12">
        <v>0</v>
      </c>
      <c r="GL90" s="12">
        <v>0</v>
      </c>
      <c r="GM90" s="12">
        <v>3</v>
      </c>
      <c r="GN90" s="12">
        <v>2</v>
      </c>
      <c r="GO90" s="12">
        <v>10</v>
      </c>
      <c r="GP90" s="12">
        <v>0</v>
      </c>
      <c r="GQ90" s="12">
        <v>0</v>
      </c>
      <c r="GR90" s="12">
        <v>0</v>
      </c>
      <c r="GS90" s="12">
        <v>5</v>
      </c>
      <c r="GT90" s="12">
        <v>7</v>
      </c>
      <c r="GU90" s="13">
        <v>244</v>
      </c>
      <c r="GV90" s="13">
        <v>1</v>
      </c>
      <c r="GW90" s="13">
        <v>0</v>
      </c>
      <c r="GX90" s="13">
        <v>0</v>
      </c>
      <c r="GY90" s="10">
        <v>0</v>
      </c>
      <c r="GZ90" s="10">
        <v>0</v>
      </c>
      <c r="HA90" s="10">
        <v>0</v>
      </c>
      <c r="HB90" s="10">
        <v>7</v>
      </c>
      <c r="HC90" s="10">
        <v>1</v>
      </c>
      <c r="HD90" s="10">
        <v>1</v>
      </c>
      <c r="HE90" s="10">
        <v>0</v>
      </c>
      <c r="HF90" s="10">
        <v>0</v>
      </c>
      <c r="HG90" s="10">
        <v>0</v>
      </c>
      <c r="HH90" s="10">
        <v>0</v>
      </c>
      <c r="HI90" s="10">
        <v>0</v>
      </c>
      <c r="HJ90" s="10">
        <v>0</v>
      </c>
      <c r="HK90" s="10">
        <v>1</v>
      </c>
      <c r="HL90" s="10">
        <v>0</v>
      </c>
      <c r="HM90" s="10">
        <v>0</v>
      </c>
      <c r="HN90" s="81">
        <v>0</v>
      </c>
      <c r="HO90" s="81">
        <v>0</v>
      </c>
      <c r="HP90" s="81">
        <v>0</v>
      </c>
      <c r="HQ90" s="81">
        <v>0</v>
      </c>
      <c r="HR90" s="81">
        <v>0</v>
      </c>
      <c r="HS90" s="12">
        <v>0</v>
      </c>
      <c r="HT90" s="12">
        <v>0</v>
      </c>
      <c r="HU90" s="12">
        <v>0</v>
      </c>
      <c r="HV90" s="12">
        <v>0</v>
      </c>
      <c r="HW90" s="12">
        <v>0</v>
      </c>
      <c r="HX90" s="12">
        <v>0</v>
      </c>
      <c r="HY90" s="12">
        <v>0</v>
      </c>
      <c r="HZ90" s="12">
        <v>0</v>
      </c>
      <c r="IA90" s="12">
        <v>0</v>
      </c>
      <c r="IB90" s="12">
        <v>0</v>
      </c>
      <c r="IC90" s="12">
        <v>0</v>
      </c>
      <c r="ID90" s="12">
        <v>0</v>
      </c>
      <c r="IE90" s="12">
        <v>0</v>
      </c>
      <c r="IF90" s="12">
        <v>0</v>
      </c>
      <c r="IG90" s="12">
        <v>0</v>
      </c>
      <c r="IH90" s="12">
        <v>0</v>
      </c>
      <c r="II90" s="12">
        <v>5</v>
      </c>
      <c r="IJ90" s="12">
        <v>0</v>
      </c>
      <c r="IK90" s="12">
        <v>1</v>
      </c>
      <c r="IL90" s="12">
        <v>0</v>
      </c>
      <c r="IM90" s="12">
        <v>0</v>
      </c>
      <c r="IN90" s="12">
        <v>0</v>
      </c>
      <c r="IO90" s="12">
        <v>0</v>
      </c>
      <c r="IP90" s="12">
        <v>0</v>
      </c>
      <c r="IQ90" s="12">
        <v>3</v>
      </c>
      <c r="IR90" s="12">
        <v>0</v>
      </c>
      <c r="IS90" s="12">
        <v>0</v>
      </c>
      <c r="IT90" s="12">
        <v>0</v>
      </c>
      <c r="IU90" s="12">
        <v>0</v>
      </c>
      <c r="IV90" s="12">
        <v>0</v>
      </c>
      <c r="IW90" s="12">
        <v>0</v>
      </c>
      <c r="IX90" s="11">
        <v>13100</v>
      </c>
      <c r="IY90" s="11">
        <v>12730</v>
      </c>
      <c r="IZ90" s="11">
        <v>11750</v>
      </c>
      <c r="JA90" s="85">
        <v>1</v>
      </c>
      <c r="JB90" s="85">
        <v>0</v>
      </c>
      <c r="JC90" s="85">
        <v>0</v>
      </c>
      <c r="JD90" s="12">
        <v>9</v>
      </c>
      <c r="JE90" s="12">
        <v>8</v>
      </c>
      <c r="JF90" s="12">
        <v>8</v>
      </c>
      <c r="JG90" s="12">
        <v>6</v>
      </c>
      <c r="JH90" s="12">
        <v>8</v>
      </c>
      <c r="JI90" s="12">
        <v>3</v>
      </c>
      <c r="JJ90" s="13" t="s">
        <v>619</v>
      </c>
      <c r="JK90" s="13" t="s">
        <v>619</v>
      </c>
      <c r="JL90" s="13" t="s">
        <v>296</v>
      </c>
      <c r="JM90" s="89"/>
      <c r="JN90" s="89"/>
      <c r="JO90" s="89" t="s">
        <v>296</v>
      </c>
      <c r="JP90" s="89"/>
      <c r="JQ90" s="89"/>
      <c r="JR90" s="89" t="s">
        <v>296</v>
      </c>
      <c r="JS90" s="89" t="s">
        <v>620</v>
      </c>
      <c r="JT90" s="89" t="s">
        <v>619</v>
      </c>
      <c r="JU90" s="89" t="s">
        <v>296</v>
      </c>
      <c r="JV90" s="89"/>
      <c r="JW90" s="89"/>
      <c r="JX90" s="89" t="s">
        <v>297</v>
      </c>
      <c r="JY90" s="12" t="s">
        <v>619</v>
      </c>
      <c r="JZ90" s="12" t="s">
        <v>34</v>
      </c>
      <c r="KA90" s="12" t="s">
        <v>34</v>
      </c>
      <c r="KB90" s="12" t="s">
        <v>34</v>
      </c>
      <c r="KC90" s="12" t="s">
        <v>619</v>
      </c>
      <c r="KD90" s="12" t="s">
        <v>34</v>
      </c>
      <c r="KE90" s="12" t="s">
        <v>34</v>
      </c>
      <c r="KF90" s="12"/>
      <c r="KG90" s="12" t="s">
        <v>34</v>
      </c>
      <c r="KH90" s="12" t="s">
        <v>34</v>
      </c>
      <c r="KI90" s="12" t="s">
        <v>619</v>
      </c>
      <c r="KJ90" s="12" t="s">
        <v>34</v>
      </c>
      <c r="KK90" s="12" t="s">
        <v>34</v>
      </c>
      <c r="KL90" s="12" t="s">
        <v>34</v>
      </c>
      <c r="KM90" s="12" t="s">
        <v>34</v>
      </c>
      <c r="KN90" s="12" t="s">
        <v>619</v>
      </c>
      <c r="KO90" s="12" t="s">
        <v>34</v>
      </c>
      <c r="KP90" s="12" t="s">
        <v>619</v>
      </c>
      <c r="KQ90" s="12" t="s">
        <v>619</v>
      </c>
      <c r="KR90" s="12" t="s">
        <v>34</v>
      </c>
      <c r="KS90" s="12" t="s">
        <v>34</v>
      </c>
      <c r="KT90" s="12" t="s">
        <v>34</v>
      </c>
      <c r="KU90" s="12" t="s">
        <v>34</v>
      </c>
      <c r="KV90" s="12" t="s">
        <v>34</v>
      </c>
      <c r="KW90" s="12" t="s">
        <v>619</v>
      </c>
      <c r="KX90" s="12" t="s">
        <v>34</v>
      </c>
      <c r="KY90" s="12" t="s">
        <v>34</v>
      </c>
      <c r="KZ90" s="12" t="s">
        <v>34</v>
      </c>
      <c r="LA90" s="12" t="s">
        <v>34</v>
      </c>
      <c r="LB90" s="12" t="s">
        <v>34</v>
      </c>
      <c r="LC90" s="12" t="s">
        <v>34</v>
      </c>
      <c r="LD90" s="12" t="s">
        <v>619</v>
      </c>
      <c r="LE90" s="12" t="s">
        <v>34</v>
      </c>
      <c r="LF90" s="12" t="s">
        <v>34</v>
      </c>
      <c r="LG90" s="12" t="s">
        <v>34</v>
      </c>
      <c r="LH90" s="12" t="s">
        <v>34</v>
      </c>
      <c r="LI90" s="12" t="s">
        <v>619</v>
      </c>
      <c r="LJ90" s="12" t="s">
        <v>34</v>
      </c>
      <c r="LK90" s="12" t="s">
        <v>34</v>
      </c>
      <c r="LL90" s="13" t="s">
        <v>619</v>
      </c>
      <c r="LM90" s="13" t="s">
        <v>34</v>
      </c>
      <c r="LN90" s="13" t="s">
        <v>34</v>
      </c>
      <c r="LO90" s="13" t="s">
        <v>34</v>
      </c>
      <c r="LP90" s="90" t="s">
        <v>619</v>
      </c>
      <c r="LQ90" s="13" t="s">
        <v>34</v>
      </c>
      <c r="LR90" s="13" t="s">
        <v>34</v>
      </c>
      <c r="LS90" s="13"/>
      <c r="LT90" s="13" t="s">
        <v>34</v>
      </c>
      <c r="LU90" s="13" t="s">
        <v>34</v>
      </c>
      <c r="LV90" s="13" t="s">
        <v>34</v>
      </c>
      <c r="LW90" s="13" t="s">
        <v>34</v>
      </c>
      <c r="LX90" s="13" t="s">
        <v>34</v>
      </c>
      <c r="LY90" s="13" t="s">
        <v>34</v>
      </c>
      <c r="LZ90" s="13" t="s">
        <v>34</v>
      </c>
      <c r="MA90" s="13" t="s">
        <v>619</v>
      </c>
      <c r="MB90" s="13" t="s">
        <v>34</v>
      </c>
      <c r="MC90" s="13" t="s">
        <v>34</v>
      </c>
      <c r="MD90" s="13" t="s">
        <v>619</v>
      </c>
      <c r="ME90" s="13" t="s">
        <v>34</v>
      </c>
      <c r="MF90" s="13" t="s">
        <v>34</v>
      </c>
      <c r="MG90" s="13" t="s">
        <v>34</v>
      </c>
      <c r="MH90" s="13" t="s">
        <v>34</v>
      </c>
      <c r="MI90" s="13" t="s">
        <v>34</v>
      </c>
      <c r="MJ90" s="13" t="s">
        <v>34</v>
      </c>
      <c r="MK90" s="13" t="s">
        <v>34</v>
      </c>
      <c r="ML90" s="13" t="s">
        <v>34</v>
      </c>
      <c r="MM90" s="13" t="s">
        <v>34</v>
      </c>
      <c r="MN90" s="13" t="s">
        <v>34</v>
      </c>
      <c r="MO90" s="13" t="s">
        <v>619</v>
      </c>
      <c r="MP90" s="13" t="s">
        <v>34</v>
      </c>
      <c r="MQ90" s="13" t="s">
        <v>619</v>
      </c>
      <c r="MR90" s="13" t="s">
        <v>34</v>
      </c>
      <c r="MS90" s="13" t="s">
        <v>34</v>
      </c>
      <c r="MT90" s="13" t="s">
        <v>34</v>
      </c>
      <c r="MU90" s="13" t="s">
        <v>34</v>
      </c>
      <c r="MV90" s="13" t="s">
        <v>34</v>
      </c>
      <c r="MW90" s="13" t="s">
        <v>34</v>
      </c>
      <c r="MX90" s="13" t="s">
        <v>619</v>
      </c>
      <c r="MY90" s="28" t="s">
        <v>296</v>
      </c>
      <c r="MZ90" s="28" t="s">
        <v>296</v>
      </c>
      <c r="NA90" s="28" t="s">
        <v>296</v>
      </c>
      <c r="NB90" s="28" t="s">
        <v>296</v>
      </c>
      <c r="NC90" s="28" t="s">
        <v>296</v>
      </c>
      <c r="ND90" s="28" t="s">
        <v>297</v>
      </c>
      <c r="NE90" s="28" t="s">
        <v>297</v>
      </c>
      <c r="NF90" s="28" t="s">
        <v>297</v>
      </c>
      <c r="NG90" s="28" t="s">
        <v>297</v>
      </c>
      <c r="NH90" s="28" t="s">
        <v>297</v>
      </c>
      <c r="NI90" s="177" t="s">
        <v>296</v>
      </c>
      <c r="NJ90" s="177" t="s">
        <v>297</v>
      </c>
      <c r="NK90" s="177" t="s">
        <v>297</v>
      </c>
      <c r="NL90" s="177" t="s">
        <v>296</v>
      </c>
      <c r="NM90" s="177" t="s">
        <v>296</v>
      </c>
      <c r="NN90" s="177" t="s">
        <v>296</v>
      </c>
      <c r="NO90" s="177" t="s">
        <v>296</v>
      </c>
      <c r="NP90" s="177" t="s">
        <v>296</v>
      </c>
      <c r="NQ90" s="177" t="s">
        <v>296</v>
      </c>
      <c r="NR90" s="12" t="s">
        <v>34</v>
      </c>
      <c r="NS90" s="13" t="s">
        <v>34</v>
      </c>
    </row>
    <row r="91" spans="1:383" x14ac:dyDescent="0.25">
      <c r="A91" s="8" t="s">
        <v>221</v>
      </c>
      <c r="B91" s="9" t="s">
        <v>222</v>
      </c>
      <c r="C91" s="9">
        <v>27</v>
      </c>
      <c r="D91" s="9" t="s">
        <v>80</v>
      </c>
      <c r="E91" s="10">
        <v>19</v>
      </c>
      <c r="F91" s="10">
        <v>21</v>
      </c>
      <c r="G91" s="10">
        <v>20</v>
      </c>
      <c r="H91" s="10">
        <v>23</v>
      </c>
      <c r="I91" s="10">
        <v>16</v>
      </c>
      <c r="J91" s="11">
        <v>133</v>
      </c>
      <c r="K91" s="11">
        <v>112</v>
      </c>
      <c r="L91" s="11">
        <v>94</v>
      </c>
      <c r="M91" s="11">
        <v>110</v>
      </c>
      <c r="N91" s="11">
        <v>82</v>
      </c>
      <c r="O91" s="13">
        <v>1330</v>
      </c>
      <c r="P91" s="13">
        <v>1208</v>
      </c>
      <c r="Q91" s="13">
        <v>1224</v>
      </c>
      <c r="R91" s="13">
        <v>1279</v>
      </c>
      <c r="S91" s="13">
        <v>799</v>
      </c>
      <c r="T91" s="12">
        <v>521</v>
      </c>
      <c r="U91" s="12">
        <v>379</v>
      </c>
      <c r="V91" s="12">
        <v>259</v>
      </c>
      <c r="W91" s="12">
        <v>488</v>
      </c>
      <c r="X91" s="12">
        <v>388</v>
      </c>
      <c r="Y91" s="12">
        <v>7.49</v>
      </c>
      <c r="Z91" s="12">
        <v>7.51</v>
      </c>
      <c r="AA91" s="12">
        <v>7.51</v>
      </c>
      <c r="AB91" s="13">
        <v>7.19</v>
      </c>
      <c r="AC91" s="13">
        <v>7.21</v>
      </c>
      <c r="AD91" s="13">
        <v>7.21</v>
      </c>
      <c r="AE91" s="35" t="s">
        <v>259</v>
      </c>
      <c r="AF91" s="35" t="s">
        <v>269</v>
      </c>
      <c r="AG91" s="35" t="s">
        <v>259</v>
      </c>
      <c r="AH91" s="38">
        <v>0.5</v>
      </c>
      <c r="AI91" s="38">
        <v>0.5</v>
      </c>
      <c r="AJ91" s="38">
        <v>0.5</v>
      </c>
      <c r="AK91" s="45" t="s">
        <v>288</v>
      </c>
      <c r="AL91" s="45" t="s">
        <v>34</v>
      </c>
      <c r="AM91" s="45" t="s">
        <v>34</v>
      </c>
      <c r="AN91" s="45" t="s">
        <v>34</v>
      </c>
      <c r="AO91" s="45" t="s">
        <v>34</v>
      </c>
      <c r="AP91" s="45" t="s">
        <v>292</v>
      </c>
      <c r="AQ91" s="53" t="s">
        <v>296</v>
      </c>
      <c r="AR91" s="56">
        <v>25</v>
      </c>
      <c r="AS91" s="57">
        <v>16</v>
      </c>
      <c r="AT91" s="56">
        <v>26</v>
      </c>
      <c r="AU91" s="57">
        <v>3355</v>
      </c>
      <c r="AV91" s="57">
        <v>1807</v>
      </c>
      <c r="AW91" s="57">
        <v>1388</v>
      </c>
      <c r="AX91" s="57">
        <v>2</v>
      </c>
      <c r="AY91" s="57">
        <v>0</v>
      </c>
      <c r="AZ91" s="57">
        <v>0</v>
      </c>
      <c r="BA91" s="57">
        <v>462</v>
      </c>
      <c r="BB91" s="57">
        <v>1523</v>
      </c>
      <c r="BC91" s="57">
        <v>1244</v>
      </c>
      <c r="BD91" s="57">
        <v>862</v>
      </c>
      <c r="BE91" s="57">
        <v>484</v>
      </c>
      <c r="BF91" s="57">
        <v>591</v>
      </c>
      <c r="BG91" s="57">
        <v>604</v>
      </c>
      <c r="BH91" s="57">
        <v>504</v>
      </c>
      <c r="BI91" s="57">
        <v>221</v>
      </c>
      <c r="BJ91" s="57" t="s">
        <v>297</v>
      </c>
      <c r="BK91" s="57">
        <v>7</v>
      </c>
      <c r="BL91" s="57">
        <v>0</v>
      </c>
      <c r="BM91" s="57">
        <v>0</v>
      </c>
      <c r="BN91" s="57">
        <v>200</v>
      </c>
      <c r="BO91" s="57">
        <v>178</v>
      </c>
      <c r="BP91" s="57">
        <v>146</v>
      </c>
      <c r="BQ91" s="76">
        <v>394</v>
      </c>
      <c r="BR91" s="76">
        <v>380</v>
      </c>
      <c r="BS91">
        <v>369</v>
      </c>
      <c r="BT91">
        <v>369</v>
      </c>
      <c r="BU91">
        <v>363</v>
      </c>
      <c r="BV91">
        <v>29870</v>
      </c>
      <c r="BW91">
        <v>29301</v>
      </c>
      <c r="BX91">
        <v>28682</v>
      </c>
      <c r="BY91">
        <v>28058</v>
      </c>
      <c r="BZ91">
        <v>27265</v>
      </c>
      <c r="CA91">
        <v>39</v>
      </c>
      <c r="CB91">
        <v>42</v>
      </c>
      <c r="CC91">
        <v>42</v>
      </c>
      <c r="CD91">
        <v>42</v>
      </c>
      <c r="CE91">
        <v>27</v>
      </c>
      <c r="CF91">
        <v>1851</v>
      </c>
      <c r="CG91">
        <v>1587</v>
      </c>
      <c r="CH91">
        <v>1483</v>
      </c>
      <c r="CI91">
        <v>1767</v>
      </c>
      <c r="CJ91">
        <v>1187</v>
      </c>
      <c r="CK91" s="10">
        <v>15</v>
      </c>
      <c r="CL91" s="10">
        <v>15.1</v>
      </c>
      <c r="CM91" s="10">
        <v>15.1</v>
      </c>
      <c r="CN91" s="11">
        <v>18.350000000000001</v>
      </c>
      <c r="CO91" s="11">
        <v>18.350000000000001</v>
      </c>
      <c r="CP91" s="11">
        <v>18.350000000000001</v>
      </c>
      <c r="CQ91" s="13">
        <v>9</v>
      </c>
      <c r="CR91" s="13">
        <v>5</v>
      </c>
      <c r="CS91" s="13">
        <v>1</v>
      </c>
      <c r="CT91" s="10">
        <v>0</v>
      </c>
      <c r="CU91" s="10">
        <v>1</v>
      </c>
      <c r="CV91" s="10">
        <v>10</v>
      </c>
      <c r="CW91" s="10">
        <v>5</v>
      </c>
      <c r="CX91" s="10">
        <v>4</v>
      </c>
      <c r="CY91" s="10">
        <v>0</v>
      </c>
      <c r="CZ91" s="10">
        <v>0</v>
      </c>
      <c r="DA91" s="10">
        <v>0</v>
      </c>
      <c r="DB91" s="10">
        <v>2</v>
      </c>
      <c r="DC91" s="10">
        <v>0</v>
      </c>
      <c r="DD91" s="10">
        <v>1</v>
      </c>
      <c r="DE91" s="10">
        <v>0</v>
      </c>
      <c r="DF91" s="10">
        <v>2</v>
      </c>
      <c r="DG91" s="10">
        <v>0</v>
      </c>
      <c r="DH91" s="10">
        <v>3</v>
      </c>
      <c r="DI91" s="81">
        <v>1</v>
      </c>
      <c r="DJ91" s="81">
        <v>1</v>
      </c>
      <c r="DK91" s="81">
        <v>1</v>
      </c>
      <c r="DL91" s="81">
        <v>0</v>
      </c>
      <c r="DM91" s="81">
        <v>2</v>
      </c>
      <c r="DN91" s="12">
        <v>0</v>
      </c>
      <c r="DO91" s="12">
        <v>1</v>
      </c>
      <c r="DP91" s="12">
        <v>1</v>
      </c>
      <c r="DQ91" s="12">
        <v>0</v>
      </c>
      <c r="DR91" s="12">
        <v>0</v>
      </c>
      <c r="DS91" s="12">
        <v>0</v>
      </c>
      <c r="DT91" s="12">
        <v>0</v>
      </c>
      <c r="DU91" s="12">
        <v>0</v>
      </c>
      <c r="DV91" s="12">
        <v>1</v>
      </c>
      <c r="DW91" s="12">
        <v>2</v>
      </c>
      <c r="DX91" s="12">
        <v>1</v>
      </c>
      <c r="DY91" s="12">
        <v>0</v>
      </c>
      <c r="DZ91" s="12">
        <v>1</v>
      </c>
      <c r="EA91" s="12">
        <v>0</v>
      </c>
      <c r="EB91" s="12">
        <v>4</v>
      </c>
      <c r="EC91" s="12">
        <v>0</v>
      </c>
      <c r="ED91" s="12">
        <v>0</v>
      </c>
      <c r="EE91" s="12">
        <v>2</v>
      </c>
      <c r="EF91" s="12">
        <v>1</v>
      </c>
      <c r="EG91" s="12">
        <v>0</v>
      </c>
      <c r="EH91" s="12">
        <v>1</v>
      </c>
      <c r="EI91" s="12">
        <v>0</v>
      </c>
      <c r="EJ91" s="12">
        <v>0</v>
      </c>
      <c r="EK91" s="12">
        <v>0</v>
      </c>
      <c r="EL91" s="12">
        <v>2</v>
      </c>
      <c r="EM91" s="12">
        <v>3</v>
      </c>
      <c r="EN91" s="12">
        <v>0</v>
      </c>
      <c r="EO91" s="12">
        <v>0</v>
      </c>
      <c r="EP91" s="12">
        <v>3</v>
      </c>
      <c r="EQ91" s="12">
        <v>1</v>
      </c>
      <c r="ER91" s="12">
        <v>0</v>
      </c>
      <c r="ES91" s="13">
        <v>6</v>
      </c>
      <c r="ET91" s="13">
        <v>1</v>
      </c>
      <c r="EU91" s="13">
        <v>0</v>
      </c>
      <c r="EV91" s="10">
        <v>0</v>
      </c>
      <c r="EW91" s="10">
        <v>0</v>
      </c>
      <c r="EX91" s="10">
        <v>1</v>
      </c>
      <c r="EY91" s="10">
        <v>0</v>
      </c>
      <c r="EZ91" s="10">
        <v>0</v>
      </c>
      <c r="FA91" s="10">
        <v>0</v>
      </c>
      <c r="FB91" s="10">
        <v>0</v>
      </c>
      <c r="FC91" s="10">
        <v>0</v>
      </c>
      <c r="FD91" s="10">
        <v>0</v>
      </c>
      <c r="FE91" s="10">
        <v>0</v>
      </c>
      <c r="FF91" s="10">
        <v>0</v>
      </c>
      <c r="FG91" s="10">
        <v>0</v>
      </c>
      <c r="FH91" s="10">
        <v>1</v>
      </c>
      <c r="FI91" s="10">
        <v>0</v>
      </c>
      <c r="FJ91" s="10">
        <v>0</v>
      </c>
      <c r="FK91" s="81">
        <v>0</v>
      </c>
      <c r="FL91" s="81">
        <v>1</v>
      </c>
      <c r="FM91" s="81">
        <v>7</v>
      </c>
      <c r="FN91" s="81">
        <v>0</v>
      </c>
      <c r="FO91" s="81">
        <v>2</v>
      </c>
      <c r="FP91" s="12">
        <v>0</v>
      </c>
      <c r="FQ91" s="12">
        <v>0</v>
      </c>
      <c r="FR91" s="12">
        <v>4</v>
      </c>
      <c r="FS91" s="12">
        <v>0</v>
      </c>
      <c r="FT91" s="12">
        <v>3</v>
      </c>
      <c r="FU91" s="12">
        <v>0</v>
      </c>
      <c r="FV91" s="12">
        <v>0</v>
      </c>
      <c r="FW91" s="12">
        <v>0</v>
      </c>
      <c r="FX91" s="12">
        <v>3</v>
      </c>
      <c r="FY91" s="12">
        <v>2</v>
      </c>
      <c r="FZ91" s="12">
        <v>0</v>
      </c>
      <c r="GA91" s="12">
        <v>0</v>
      </c>
      <c r="GB91" s="12">
        <v>0</v>
      </c>
      <c r="GC91" s="12">
        <v>0</v>
      </c>
      <c r="GD91" s="12">
        <v>0</v>
      </c>
      <c r="GE91" s="12">
        <v>6</v>
      </c>
      <c r="GF91" s="12">
        <v>0</v>
      </c>
      <c r="GG91" s="12">
        <v>6</v>
      </c>
      <c r="GH91" s="12">
        <v>1</v>
      </c>
      <c r="GI91" s="12">
        <v>0</v>
      </c>
      <c r="GJ91" s="12">
        <v>3</v>
      </c>
      <c r="GK91" s="12">
        <v>1</v>
      </c>
      <c r="GL91" s="12">
        <v>0</v>
      </c>
      <c r="GM91" s="12">
        <v>0</v>
      </c>
      <c r="GN91" s="12">
        <v>4</v>
      </c>
      <c r="GO91" s="12">
        <v>0</v>
      </c>
      <c r="GP91" s="12">
        <v>0</v>
      </c>
      <c r="GQ91" s="12">
        <v>0</v>
      </c>
      <c r="GR91" s="12">
        <v>0</v>
      </c>
      <c r="GS91" s="12">
        <v>0</v>
      </c>
      <c r="GT91" s="12">
        <v>0</v>
      </c>
      <c r="GU91" s="13">
        <v>16</v>
      </c>
      <c r="GV91" s="13">
        <v>11</v>
      </c>
      <c r="GW91" s="13">
        <v>0</v>
      </c>
      <c r="GX91" s="13">
        <v>0</v>
      </c>
      <c r="GY91" s="10">
        <v>0</v>
      </c>
      <c r="GZ91" s="10">
        <v>0</v>
      </c>
      <c r="HA91" s="10">
        <v>9</v>
      </c>
      <c r="HB91" s="10">
        <v>6</v>
      </c>
      <c r="HC91" s="10">
        <v>3</v>
      </c>
      <c r="HD91" s="10">
        <v>0</v>
      </c>
      <c r="HE91" s="10">
        <v>0</v>
      </c>
      <c r="HF91" s="10">
        <v>0</v>
      </c>
      <c r="HG91" s="10">
        <v>0</v>
      </c>
      <c r="HH91" s="10">
        <v>0</v>
      </c>
      <c r="HI91" s="10">
        <v>0</v>
      </c>
      <c r="HJ91" s="10">
        <v>0</v>
      </c>
      <c r="HK91" s="10">
        <v>0</v>
      </c>
      <c r="HL91" s="10">
        <v>0</v>
      </c>
      <c r="HM91" s="10">
        <v>0</v>
      </c>
      <c r="HN91" s="81">
        <v>0</v>
      </c>
      <c r="HO91" s="81">
        <v>0</v>
      </c>
      <c r="HP91" s="81">
        <v>0</v>
      </c>
      <c r="HQ91" s="81">
        <v>0</v>
      </c>
      <c r="HR91" s="81">
        <v>0</v>
      </c>
      <c r="HS91" s="12">
        <v>0</v>
      </c>
      <c r="HT91" s="12">
        <v>0</v>
      </c>
      <c r="HU91" s="12">
        <v>0</v>
      </c>
      <c r="HV91" s="12">
        <v>0</v>
      </c>
      <c r="HW91" s="12">
        <v>0</v>
      </c>
      <c r="HX91" s="12">
        <v>0</v>
      </c>
      <c r="HY91" s="12">
        <v>0</v>
      </c>
      <c r="HZ91" s="12">
        <v>0</v>
      </c>
      <c r="IA91" s="12">
        <v>0</v>
      </c>
      <c r="IB91" s="12">
        <v>0</v>
      </c>
      <c r="IC91" s="12">
        <v>0</v>
      </c>
      <c r="ID91" s="12">
        <v>0</v>
      </c>
      <c r="IE91" s="12">
        <v>0</v>
      </c>
      <c r="IF91" s="12">
        <v>0</v>
      </c>
      <c r="IG91" s="12">
        <v>0</v>
      </c>
      <c r="IH91" s="12">
        <v>0</v>
      </c>
      <c r="II91" s="12">
        <v>0</v>
      </c>
      <c r="IJ91" s="12">
        <v>0</v>
      </c>
      <c r="IK91" s="12">
        <v>0</v>
      </c>
      <c r="IL91" s="12">
        <v>0</v>
      </c>
      <c r="IM91" s="12">
        <v>0</v>
      </c>
      <c r="IN91" s="12">
        <v>0</v>
      </c>
      <c r="IO91" s="12">
        <v>0</v>
      </c>
      <c r="IP91" s="12">
        <v>0</v>
      </c>
      <c r="IQ91" s="12">
        <v>0</v>
      </c>
      <c r="IR91" s="12">
        <v>0</v>
      </c>
      <c r="IS91" s="12">
        <v>0</v>
      </c>
      <c r="IT91" s="12">
        <v>0</v>
      </c>
      <c r="IU91" s="12">
        <v>0</v>
      </c>
      <c r="IV91" s="12">
        <v>0</v>
      </c>
      <c r="IW91" s="12">
        <v>0</v>
      </c>
      <c r="IX91" s="11">
        <v>7500</v>
      </c>
      <c r="IY91" s="11">
        <v>8400</v>
      </c>
      <c r="IZ91" s="11">
        <v>8400</v>
      </c>
      <c r="JA91" s="85">
        <v>0</v>
      </c>
      <c r="JB91" s="85">
        <v>0</v>
      </c>
      <c r="JC91" s="85">
        <v>0</v>
      </c>
      <c r="JD91" s="12">
        <v>7</v>
      </c>
      <c r="JE91" s="12">
        <v>0</v>
      </c>
      <c r="JF91" s="12">
        <v>7</v>
      </c>
      <c r="JG91" s="12">
        <v>2</v>
      </c>
      <c r="JH91" s="12">
        <v>7</v>
      </c>
      <c r="JI91" s="12">
        <v>1</v>
      </c>
      <c r="JJ91" s="13" t="s">
        <v>620</v>
      </c>
      <c r="JK91" s="13" t="s">
        <v>619</v>
      </c>
      <c r="JL91" s="13" t="s">
        <v>297</v>
      </c>
      <c r="JM91" s="89"/>
      <c r="JN91" s="89"/>
      <c r="JO91" s="89" t="s">
        <v>296</v>
      </c>
      <c r="JP91" s="89"/>
      <c r="JQ91" s="89"/>
      <c r="JR91" s="89" t="s">
        <v>296</v>
      </c>
      <c r="JS91" s="89" t="s">
        <v>619</v>
      </c>
      <c r="JT91" s="89" t="s">
        <v>619</v>
      </c>
      <c r="JU91" s="89" t="s">
        <v>296</v>
      </c>
      <c r="JV91" s="89"/>
      <c r="JW91" s="89"/>
      <c r="JX91" s="89" t="s">
        <v>297</v>
      </c>
      <c r="JY91" s="12" t="s">
        <v>34</v>
      </c>
      <c r="JZ91" s="12" t="s">
        <v>34</v>
      </c>
      <c r="KA91" s="12" t="s">
        <v>34</v>
      </c>
      <c r="KB91" s="12" t="s">
        <v>34</v>
      </c>
      <c r="KC91" s="12" t="s">
        <v>619</v>
      </c>
      <c r="KD91" s="12" t="s">
        <v>34</v>
      </c>
      <c r="KE91" s="12" t="s">
        <v>34</v>
      </c>
      <c r="KF91" s="12"/>
      <c r="KG91" s="12" t="s">
        <v>619</v>
      </c>
      <c r="KH91" s="12" t="s">
        <v>34</v>
      </c>
      <c r="KI91" s="12" t="s">
        <v>34</v>
      </c>
      <c r="KJ91" s="12" t="s">
        <v>619</v>
      </c>
      <c r="KK91" s="12" t="s">
        <v>34</v>
      </c>
      <c r="KL91" s="12" t="s">
        <v>34</v>
      </c>
      <c r="KM91" s="12" t="s">
        <v>34</v>
      </c>
      <c r="KN91" s="12" t="s">
        <v>619</v>
      </c>
      <c r="KO91" s="12" t="s">
        <v>619</v>
      </c>
      <c r="KP91" s="12" t="s">
        <v>34</v>
      </c>
      <c r="KQ91" s="12" t="s">
        <v>34</v>
      </c>
      <c r="KR91" s="12" t="s">
        <v>34</v>
      </c>
      <c r="KS91" s="12" t="s">
        <v>34</v>
      </c>
      <c r="KT91" s="12" t="s">
        <v>34</v>
      </c>
      <c r="KU91" s="12" t="s">
        <v>34</v>
      </c>
      <c r="KV91" s="12" t="s">
        <v>34</v>
      </c>
      <c r="KW91" s="12" t="s">
        <v>34</v>
      </c>
      <c r="KX91" s="12" t="s">
        <v>34</v>
      </c>
      <c r="KY91" s="12" t="s">
        <v>34</v>
      </c>
      <c r="KZ91" s="12" t="s">
        <v>34</v>
      </c>
      <c r="LA91" s="12" t="s">
        <v>34</v>
      </c>
      <c r="LB91" s="12" t="s">
        <v>619</v>
      </c>
      <c r="LC91" s="12" t="s">
        <v>619</v>
      </c>
      <c r="LD91" s="12" t="s">
        <v>34</v>
      </c>
      <c r="LE91" s="12" t="s">
        <v>34</v>
      </c>
      <c r="LF91" s="12" t="s">
        <v>34</v>
      </c>
      <c r="LG91" s="12" t="s">
        <v>34</v>
      </c>
      <c r="LH91" s="12" t="s">
        <v>34</v>
      </c>
      <c r="LI91" s="12" t="s">
        <v>34</v>
      </c>
      <c r="LJ91" s="12" t="s">
        <v>619</v>
      </c>
      <c r="LK91" s="12" t="s">
        <v>34</v>
      </c>
      <c r="LL91" s="13" t="s">
        <v>34</v>
      </c>
      <c r="LM91" s="13" t="s">
        <v>34</v>
      </c>
      <c r="LN91" s="13" t="s">
        <v>34</v>
      </c>
      <c r="LO91" s="13" t="s">
        <v>34</v>
      </c>
      <c r="LP91" s="90" t="s">
        <v>34</v>
      </c>
      <c r="LQ91" s="13" t="s">
        <v>34</v>
      </c>
      <c r="LR91" s="13" t="s">
        <v>34</v>
      </c>
      <c r="LS91" s="13"/>
      <c r="LT91" s="13" t="s">
        <v>34</v>
      </c>
      <c r="LU91" s="13" t="s">
        <v>34</v>
      </c>
      <c r="LV91" s="13" t="s">
        <v>34</v>
      </c>
      <c r="LW91" s="13" t="s">
        <v>34</v>
      </c>
      <c r="LX91" s="13" t="s">
        <v>34</v>
      </c>
      <c r="LY91" s="13" t="s">
        <v>34</v>
      </c>
      <c r="LZ91" s="13" t="s">
        <v>34</v>
      </c>
      <c r="MA91" s="13" t="s">
        <v>34</v>
      </c>
      <c r="MB91" s="13" t="s">
        <v>34</v>
      </c>
      <c r="MC91" s="13" t="s">
        <v>34</v>
      </c>
      <c r="MD91" s="13" t="s">
        <v>34</v>
      </c>
      <c r="ME91" s="13" t="s">
        <v>34</v>
      </c>
      <c r="MF91" s="13" t="s">
        <v>34</v>
      </c>
      <c r="MG91" s="13" t="s">
        <v>34</v>
      </c>
      <c r="MH91" s="13" t="s">
        <v>34</v>
      </c>
      <c r="MI91" s="13" t="s">
        <v>34</v>
      </c>
      <c r="MJ91" s="13" t="s">
        <v>34</v>
      </c>
      <c r="MK91" s="13" t="s">
        <v>34</v>
      </c>
      <c r="ML91" s="13" t="s">
        <v>34</v>
      </c>
      <c r="MM91" s="13" t="s">
        <v>34</v>
      </c>
      <c r="MN91" s="13" t="s">
        <v>34</v>
      </c>
      <c r="MO91" s="13" t="s">
        <v>34</v>
      </c>
      <c r="MP91" s="13" t="s">
        <v>34</v>
      </c>
      <c r="MQ91" s="13" t="s">
        <v>34</v>
      </c>
      <c r="MR91" s="13" t="s">
        <v>34</v>
      </c>
      <c r="MS91" s="13" t="s">
        <v>34</v>
      </c>
      <c r="MT91" s="13" t="s">
        <v>34</v>
      </c>
      <c r="MU91" s="13" t="s">
        <v>34</v>
      </c>
      <c r="MV91" s="13" t="s">
        <v>619</v>
      </c>
      <c r="MW91" s="13" t="s">
        <v>34</v>
      </c>
      <c r="MX91" s="13" t="s">
        <v>34</v>
      </c>
      <c r="MY91" s="28" t="s">
        <v>296</v>
      </c>
      <c r="MZ91" s="28" t="s">
        <v>296</v>
      </c>
      <c r="NA91" s="28" t="s">
        <v>296</v>
      </c>
      <c r="NB91" s="28" t="s">
        <v>296</v>
      </c>
      <c r="NC91" s="28" t="s">
        <v>296</v>
      </c>
      <c r="ND91" s="28" t="s">
        <v>296</v>
      </c>
      <c r="NE91" s="28" t="s">
        <v>296</v>
      </c>
      <c r="NF91" s="28" t="s">
        <v>297</v>
      </c>
      <c r="NG91" s="28" t="s">
        <v>297</v>
      </c>
      <c r="NH91" s="28" t="s">
        <v>297</v>
      </c>
      <c r="NI91" s="177" t="s">
        <v>296</v>
      </c>
      <c r="NJ91" s="177" t="s">
        <v>297</v>
      </c>
      <c r="NK91" s="177" t="s">
        <v>296</v>
      </c>
      <c r="NL91" s="177" t="s">
        <v>297</v>
      </c>
      <c r="NM91" s="177" t="s">
        <v>296</v>
      </c>
      <c r="NN91" s="177" t="s">
        <v>296</v>
      </c>
      <c r="NO91" s="177" t="s">
        <v>296</v>
      </c>
      <c r="NP91" s="177" t="s">
        <v>296</v>
      </c>
      <c r="NQ91" s="177" t="s">
        <v>296</v>
      </c>
      <c r="NR91" s="12" t="s">
        <v>34</v>
      </c>
      <c r="NS91" s="13" t="s">
        <v>34</v>
      </c>
    </row>
    <row r="92" spans="1:383" x14ac:dyDescent="0.25">
      <c r="A92" s="8" t="s">
        <v>223</v>
      </c>
      <c r="B92" s="9" t="s">
        <v>224</v>
      </c>
      <c r="C92" s="9">
        <v>27</v>
      </c>
      <c r="D92" s="9" t="s">
        <v>80</v>
      </c>
      <c r="E92" s="10">
        <v>36</v>
      </c>
      <c r="F92" s="10">
        <v>28</v>
      </c>
      <c r="G92" s="10">
        <v>22</v>
      </c>
      <c r="H92" s="10">
        <v>22</v>
      </c>
      <c r="I92" s="10">
        <v>18</v>
      </c>
      <c r="J92" s="11">
        <v>105</v>
      </c>
      <c r="K92" s="11">
        <v>121</v>
      </c>
      <c r="L92" s="11">
        <v>71</v>
      </c>
      <c r="M92" s="11">
        <v>68</v>
      </c>
      <c r="N92" s="11">
        <v>52</v>
      </c>
      <c r="O92" s="13">
        <v>2245</v>
      </c>
      <c r="P92" s="13">
        <v>2304</v>
      </c>
      <c r="Q92" s="13">
        <v>1810</v>
      </c>
      <c r="R92" s="13">
        <v>1741</v>
      </c>
      <c r="S92" s="13">
        <v>0</v>
      </c>
      <c r="T92" s="12">
        <v>38</v>
      </c>
      <c r="U92" s="12">
        <v>58</v>
      </c>
      <c r="V92" s="12">
        <v>25</v>
      </c>
      <c r="W92" s="12">
        <v>27</v>
      </c>
      <c r="X92" s="12">
        <v>0</v>
      </c>
      <c r="Y92" s="12">
        <v>10</v>
      </c>
      <c r="Z92" s="12">
        <v>10</v>
      </c>
      <c r="AA92" s="12">
        <v>10</v>
      </c>
      <c r="AB92" s="13">
        <v>10</v>
      </c>
      <c r="AC92" s="13">
        <v>10</v>
      </c>
      <c r="AD92" s="13">
        <v>10</v>
      </c>
      <c r="AE92" s="35" t="s">
        <v>259</v>
      </c>
      <c r="AF92" s="35" t="s">
        <v>259</v>
      </c>
      <c r="AG92" s="35" t="s">
        <v>259</v>
      </c>
      <c r="AH92" s="38">
        <v>0.75</v>
      </c>
      <c r="AI92" s="38">
        <v>1</v>
      </c>
      <c r="AJ92" s="38">
        <v>0.8</v>
      </c>
      <c r="AK92" s="45" t="s">
        <v>288</v>
      </c>
      <c r="AL92" s="45" t="s">
        <v>289</v>
      </c>
      <c r="AM92" s="45" t="s">
        <v>34</v>
      </c>
      <c r="AN92" s="45" t="s">
        <v>34</v>
      </c>
      <c r="AO92" s="45" t="s">
        <v>34</v>
      </c>
      <c r="AP92" s="45" t="s">
        <v>292</v>
      </c>
      <c r="AQ92" s="53" t="s">
        <v>296</v>
      </c>
      <c r="AR92" s="56">
        <v>51</v>
      </c>
      <c r="AS92" s="57">
        <v>5</v>
      </c>
      <c r="AT92" s="56">
        <v>11</v>
      </c>
      <c r="AU92" s="57">
        <v>5462</v>
      </c>
      <c r="AV92" s="57">
        <v>557</v>
      </c>
      <c r="AW92" s="57">
        <v>0</v>
      </c>
      <c r="AX92" s="57">
        <v>0</v>
      </c>
      <c r="AY92" s="57">
        <v>0</v>
      </c>
      <c r="AZ92" s="57">
        <v>0</v>
      </c>
      <c r="BA92" s="57">
        <v>0</v>
      </c>
      <c r="BB92" s="57">
        <v>0</v>
      </c>
      <c r="BC92" s="57">
        <v>0</v>
      </c>
      <c r="BD92" s="57">
        <v>0</v>
      </c>
      <c r="BE92" s="57">
        <v>180</v>
      </c>
      <c r="BF92" s="57">
        <v>147</v>
      </c>
      <c r="BG92" s="57">
        <v>172</v>
      </c>
      <c r="BH92" s="57">
        <v>805</v>
      </c>
      <c r="BI92" s="57">
        <v>1221</v>
      </c>
      <c r="BJ92" s="57" t="s">
        <v>296</v>
      </c>
      <c r="BK92" s="57">
        <v>3</v>
      </c>
      <c r="BL92" s="57">
        <v>4</v>
      </c>
      <c r="BM92" s="57">
        <v>0</v>
      </c>
      <c r="BN92" s="57">
        <v>0</v>
      </c>
      <c r="BO92" s="57">
        <v>96</v>
      </c>
      <c r="BP92" s="57">
        <v>0</v>
      </c>
      <c r="BQ92" s="76">
        <v>147</v>
      </c>
      <c r="BR92" s="76">
        <v>143</v>
      </c>
      <c r="BS92">
        <v>139</v>
      </c>
      <c r="BT92">
        <v>139</v>
      </c>
      <c r="BU92">
        <v>138</v>
      </c>
      <c r="BV92">
        <v>12846</v>
      </c>
      <c r="BW92">
        <v>12645</v>
      </c>
      <c r="BX92">
        <v>12385</v>
      </c>
      <c r="BY92">
        <v>12182</v>
      </c>
      <c r="BZ92">
        <v>11839</v>
      </c>
      <c r="CA92">
        <v>46</v>
      </c>
      <c r="CB92">
        <v>29</v>
      </c>
      <c r="CC92">
        <v>31</v>
      </c>
      <c r="CD92">
        <v>29</v>
      </c>
      <c r="CE92">
        <v>18</v>
      </c>
      <c r="CF92">
        <v>2283</v>
      </c>
      <c r="CG92">
        <v>2362</v>
      </c>
      <c r="CH92">
        <v>1835</v>
      </c>
      <c r="CI92">
        <v>1768</v>
      </c>
      <c r="CJ92">
        <v>0</v>
      </c>
      <c r="CK92" s="10">
        <v>18</v>
      </c>
      <c r="CL92" s="10">
        <v>18</v>
      </c>
      <c r="CM92" s="10">
        <v>18</v>
      </c>
      <c r="CN92" s="11">
        <v>15</v>
      </c>
      <c r="CO92" s="11">
        <v>15</v>
      </c>
      <c r="CP92" s="11">
        <v>15</v>
      </c>
      <c r="CQ92" s="13">
        <v>0</v>
      </c>
      <c r="CR92" s="13">
        <v>0</v>
      </c>
      <c r="CS92" s="13">
        <v>0</v>
      </c>
      <c r="CT92" s="10">
        <v>0</v>
      </c>
      <c r="CU92" s="10">
        <v>0</v>
      </c>
      <c r="CV92" s="10">
        <v>0</v>
      </c>
      <c r="CW92" s="10">
        <v>0</v>
      </c>
      <c r="CX92" s="10">
        <v>0</v>
      </c>
      <c r="CY92" s="10">
        <v>0</v>
      </c>
      <c r="CZ92" s="10">
        <v>0</v>
      </c>
      <c r="DA92" s="10">
        <v>0</v>
      </c>
      <c r="DB92" s="10">
        <v>0</v>
      </c>
      <c r="DC92" s="10">
        <v>0</v>
      </c>
      <c r="DD92" s="10">
        <v>0</v>
      </c>
      <c r="DE92" s="10">
        <v>0</v>
      </c>
      <c r="DF92" s="10">
        <v>0</v>
      </c>
      <c r="DG92" s="10">
        <v>0</v>
      </c>
      <c r="DH92" s="10">
        <v>0</v>
      </c>
      <c r="DI92" s="81">
        <v>0</v>
      </c>
      <c r="DJ92" s="81">
        <v>0</v>
      </c>
      <c r="DK92" s="81">
        <v>2</v>
      </c>
      <c r="DL92" s="81">
        <v>0</v>
      </c>
      <c r="DM92" s="81">
        <v>0</v>
      </c>
      <c r="DN92" s="12">
        <v>0</v>
      </c>
      <c r="DO92" s="12">
        <v>0</v>
      </c>
      <c r="DP92" s="12">
        <v>0</v>
      </c>
      <c r="DQ92" s="12">
        <v>0</v>
      </c>
      <c r="DR92" s="12">
        <v>0</v>
      </c>
      <c r="DS92" s="12">
        <v>0</v>
      </c>
      <c r="DT92" s="12">
        <v>0</v>
      </c>
      <c r="DU92" s="12">
        <v>0</v>
      </c>
      <c r="DV92" s="12">
        <v>0</v>
      </c>
      <c r="DW92" s="12">
        <v>0</v>
      </c>
      <c r="DX92" s="12">
        <v>0</v>
      </c>
      <c r="DY92" s="12">
        <v>1</v>
      </c>
      <c r="DZ92" s="12">
        <v>0</v>
      </c>
      <c r="EA92" s="12">
        <v>0</v>
      </c>
      <c r="EB92" s="12">
        <v>0</v>
      </c>
      <c r="EC92" s="12">
        <v>0</v>
      </c>
      <c r="ED92" s="12">
        <v>0</v>
      </c>
      <c r="EE92" s="12">
        <v>0</v>
      </c>
      <c r="EF92" s="12">
        <v>0</v>
      </c>
      <c r="EG92" s="12">
        <v>0</v>
      </c>
      <c r="EH92" s="12">
        <v>0</v>
      </c>
      <c r="EI92" s="12">
        <v>0</v>
      </c>
      <c r="EJ92" s="12">
        <v>0</v>
      </c>
      <c r="EK92" s="12">
        <v>0</v>
      </c>
      <c r="EL92" s="12">
        <v>1</v>
      </c>
      <c r="EM92" s="12">
        <v>0</v>
      </c>
      <c r="EN92" s="12">
        <v>0</v>
      </c>
      <c r="EO92" s="12">
        <v>0</v>
      </c>
      <c r="EP92" s="12">
        <v>0</v>
      </c>
      <c r="EQ92" s="12">
        <v>0</v>
      </c>
      <c r="ER92" s="12">
        <v>0</v>
      </c>
      <c r="ES92" s="13">
        <v>3</v>
      </c>
      <c r="ET92" s="13">
        <v>0</v>
      </c>
      <c r="EU92" s="13">
        <v>0</v>
      </c>
      <c r="EV92" s="10">
        <v>0</v>
      </c>
      <c r="EW92" s="10">
        <v>0</v>
      </c>
      <c r="EX92" s="10">
        <v>0</v>
      </c>
      <c r="EY92" s="10">
        <v>0</v>
      </c>
      <c r="EZ92" s="10">
        <v>0</v>
      </c>
      <c r="FA92" s="10">
        <v>0</v>
      </c>
      <c r="FB92" s="10">
        <v>0</v>
      </c>
      <c r="FC92" s="10">
        <v>0</v>
      </c>
      <c r="FD92" s="10">
        <v>0</v>
      </c>
      <c r="FE92" s="10">
        <v>0</v>
      </c>
      <c r="FF92" s="10">
        <v>0</v>
      </c>
      <c r="FG92" s="10">
        <v>0</v>
      </c>
      <c r="FH92" s="10">
        <v>0</v>
      </c>
      <c r="FI92" s="10">
        <v>0</v>
      </c>
      <c r="FJ92" s="10">
        <v>0</v>
      </c>
      <c r="FK92" s="81">
        <v>0</v>
      </c>
      <c r="FL92" s="81">
        <v>0</v>
      </c>
      <c r="FM92" s="81">
        <v>0</v>
      </c>
      <c r="FN92" s="81">
        <v>0</v>
      </c>
      <c r="FO92" s="81">
        <v>0</v>
      </c>
      <c r="FP92" s="12">
        <v>0</v>
      </c>
      <c r="FQ92" s="12">
        <v>0</v>
      </c>
      <c r="FR92" s="12">
        <v>0</v>
      </c>
      <c r="FS92" s="12">
        <v>0</v>
      </c>
      <c r="FT92" s="12">
        <v>0</v>
      </c>
      <c r="FU92" s="12">
        <v>0</v>
      </c>
      <c r="FV92" s="12">
        <v>0</v>
      </c>
      <c r="FW92" s="12">
        <v>0</v>
      </c>
      <c r="FX92" s="12">
        <v>0</v>
      </c>
      <c r="FY92" s="12">
        <v>0</v>
      </c>
      <c r="FZ92" s="12">
        <v>0</v>
      </c>
      <c r="GA92" s="12">
        <v>0</v>
      </c>
      <c r="GB92" s="12">
        <v>0</v>
      </c>
      <c r="GC92" s="12">
        <v>0</v>
      </c>
      <c r="GD92" s="12">
        <v>0</v>
      </c>
      <c r="GE92" s="12">
        <v>0</v>
      </c>
      <c r="GF92" s="12">
        <v>0</v>
      </c>
      <c r="GG92" s="12">
        <v>0</v>
      </c>
      <c r="GH92" s="12">
        <v>0</v>
      </c>
      <c r="GI92" s="12">
        <v>0</v>
      </c>
      <c r="GJ92" s="12">
        <v>0</v>
      </c>
      <c r="GK92" s="12">
        <v>0</v>
      </c>
      <c r="GL92" s="12">
        <v>0</v>
      </c>
      <c r="GM92" s="12">
        <v>0</v>
      </c>
      <c r="GN92" s="12">
        <v>1</v>
      </c>
      <c r="GO92" s="12">
        <v>0</v>
      </c>
      <c r="GP92" s="12">
        <v>0</v>
      </c>
      <c r="GQ92" s="12">
        <v>0</v>
      </c>
      <c r="GR92" s="12">
        <v>0</v>
      </c>
      <c r="GS92" s="12">
        <v>0</v>
      </c>
      <c r="GT92" s="12">
        <v>0</v>
      </c>
      <c r="GU92" s="13">
        <v>5</v>
      </c>
      <c r="GV92" s="13">
        <v>3</v>
      </c>
      <c r="GW92" s="13">
        <v>0</v>
      </c>
      <c r="GX92" s="13">
        <v>0</v>
      </c>
      <c r="GY92" s="10">
        <v>0</v>
      </c>
      <c r="GZ92" s="10">
        <v>0</v>
      </c>
      <c r="HA92" s="10">
        <v>1</v>
      </c>
      <c r="HB92" s="10">
        <v>1</v>
      </c>
      <c r="HC92" s="10">
        <v>0</v>
      </c>
      <c r="HD92" s="10">
        <v>0</v>
      </c>
      <c r="HE92" s="10">
        <v>0</v>
      </c>
      <c r="HF92" s="10">
        <v>1</v>
      </c>
      <c r="HG92" s="10">
        <v>0</v>
      </c>
      <c r="HH92" s="10">
        <v>0</v>
      </c>
      <c r="HI92" s="10">
        <v>0</v>
      </c>
      <c r="HJ92" s="10">
        <v>0</v>
      </c>
      <c r="HK92" s="10">
        <v>0</v>
      </c>
      <c r="HL92" s="10">
        <v>0</v>
      </c>
      <c r="HM92" s="10">
        <v>2</v>
      </c>
      <c r="HN92" s="81">
        <v>0</v>
      </c>
      <c r="HO92" s="81">
        <v>0</v>
      </c>
      <c r="HP92" s="81">
        <v>0</v>
      </c>
      <c r="HQ92" s="81">
        <v>0</v>
      </c>
      <c r="HR92" s="81">
        <v>0</v>
      </c>
      <c r="HS92" s="12">
        <v>0</v>
      </c>
      <c r="HT92" s="12">
        <v>0</v>
      </c>
      <c r="HU92" s="12">
        <v>0</v>
      </c>
      <c r="HV92" s="12">
        <v>0</v>
      </c>
      <c r="HW92" s="12">
        <v>0</v>
      </c>
      <c r="HX92" s="12">
        <v>0</v>
      </c>
      <c r="HY92" s="12">
        <v>1</v>
      </c>
      <c r="HZ92" s="12">
        <v>0</v>
      </c>
      <c r="IA92" s="12">
        <v>0</v>
      </c>
      <c r="IB92" s="12">
        <v>0</v>
      </c>
      <c r="IC92" s="12">
        <v>0</v>
      </c>
      <c r="ID92" s="12">
        <v>0</v>
      </c>
      <c r="IE92" s="12">
        <v>0</v>
      </c>
      <c r="IF92" s="12">
        <v>0</v>
      </c>
      <c r="IG92" s="12">
        <v>2</v>
      </c>
      <c r="IH92" s="12">
        <v>0</v>
      </c>
      <c r="II92" s="12">
        <v>0</v>
      </c>
      <c r="IJ92" s="12">
        <v>0</v>
      </c>
      <c r="IK92" s="12">
        <v>1</v>
      </c>
      <c r="IL92" s="12">
        <v>0</v>
      </c>
      <c r="IM92" s="12">
        <v>0</v>
      </c>
      <c r="IN92" s="12">
        <v>0</v>
      </c>
      <c r="IO92" s="12">
        <v>1</v>
      </c>
      <c r="IP92" s="12">
        <v>0</v>
      </c>
      <c r="IQ92" s="12">
        <v>0</v>
      </c>
      <c r="IR92" s="12">
        <v>2</v>
      </c>
      <c r="IS92" s="12">
        <v>1</v>
      </c>
      <c r="IT92" s="12">
        <v>0</v>
      </c>
      <c r="IU92" s="12">
        <v>0</v>
      </c>
      <c r="IV92" s="12">
        <v>1</v>
      </c>
      <c r="IW92" s="12">
        <v>0</v>
      </c>
      <c r="IX92" s="11">
        <v>0</v>
      </c>
      <c r="IY92" s="11">
        <v>0</v>
      </c>
      <c r="IZ92" s="11">
        <v>0</v>
      </c>
      <c r="JA92" s="85">
        <v>1</v>
      </c>
      <c r="JB92" s="85">
        <v>1</v>
      </c>
      <c r="JC92" s="85">
        <v>1</v>
      </c>
      <c r="JD92" s="12">
        <v>3</v>
      </c>
      <c r="JE92" s="12">
        <v>3</v>
      </c>
      <c r="JF92" s="12">
        <v>3</v>
      </c>
      <c r="JG92" s="12">
        <v>3</v>
      </c>
      <c r="JH92" s="12">
        <v>3</v>
      </c>
      <c r="JI92" s="12">
        <v>0</v>
      </c>
      <c r="JJ92" s="13" t="s">
        <v>619</v>
      </c>
      <c r="JK92" s="13" t="s">
        <v>620</v>
      </c>
      <c r="JL92" s="13" t="s">
        <v>297</v>
      </c>
      <c r="JM92" s="89"/>
      <c r="JN92" s="89"/>
      <c r="JO92" s="89" t="s">
        <v>297</v>
      </c>
      <c r="JP92" s="89"/>
      <c r="JQ92" s="89"/>
      <c r="JR92" s="89" t="s">
        <v>296</v>
      </c>
      <c r="JS92" s="89" t="s">
        <v>619</v>
      </c>
      <c r="JT92" s="89" t="s">
        <v>620</v>
      </c>
      <c r="JU92" s="89" t="s">
        <v>297</v>
      </c>
      <c r="JV92" s="89"/>
      <c r="JW92" s="89"/>
      <c r="JX92" s="89" t="s">
        <v>297</v>
      </c>
      <c r="JY92" s="12" t="s">
        <v>34</v>
      </c>
      <c r="JZ92" s="12" t="s">
        <v>34</v>
      </c>
      <c r="KA92" s="12" t="s">
        <v>34</v>
      </c>
      <c r="KB92" s="12" t="s">
        <v>34</v>
      </c>
      <c r="KC92" s="12" t="s">
        <v>34</v>
      </c>
      <c r="KD92" s="12" t="s">
        <v>34</v>
      </c>
      <c r="KE92" s="12" t="s">
        <v>34</v>
      </c>
      <c r="KF92" s="12"/>
      <c r="KG92" s="12" t="s">
        <v>34</v>
      </c>
      <c r="KH92" s="12" t="s">
        <v>34</v>
      </c>
      <c r="KI92" s="12" t="s">
        <v>34</v>
      </c>
      <c r="KJ92" s="12" t="s">
        <v>34</v>
      </c>
      <c r="KK92" s="12" t="s">
        <v>34</v>
      </c>
      <c r="KL92" s="12" t="s">
        <v>34</v>
      </c>
      <c r="KM92" s="12" t="s">
        <v>34</v>
      </c>
      <c r="KN92" s="12" t="s">
        <v>619</v>
      </c>
      <c r="KO92" s="12" t="s">
        <v>34</v>
      </c>
      <c r="KP92" s="12" t="s">
        <v>34</v>
      </c>
      <c r="KQ92" s="12" t="s">
        <v>34</v>
      </c>
      <c r="KR92" s="12" t="s">
        <v>619</v>
      </c>
      <c r="KS92" s="12" t="s">
        <v>34</v>
      </c>
      <c r="KT92" s="12" t="s">
        <v>34</v>
      </c>
      <c r="KU92" s="12" t="s">
        <v>34</v>
      </c>
      <c r="KV92" s="12" t="s">
        <v>34</v>
      </c>
      <c r="KW92" s="12" t="s">
        <v>34</v>
      </c>
      <c r="KX92" s="12" t="s">
        <v>34</v>
      </c>
      <c r="KY92" s="12" t="s">
        <v>34</v>
      </c>
      <c r="KZ92" s="12" t="s">
        <v>34</v>
      </c>
      <c r="LA92" s="12" t="s">
        <v>34</v>
      </c>
      <c r="LB92" s="12" t="s">
        <v>619</v>
      </c>
      <c r="LC92" s="12" t="s">
        <v>34</v>
      </c>
      <c r="LD92" s="12" t="s">
        <v>619</v>
      </c>
      <c r="LE92" s="12" t="s">
        <v>34</v>
      </c>
      <c r="LF92" s="12" t="s">
        <v>34</v>
      </c>
      <c r="LG92" s="12" t="s">
        <v>34</v>
      </c>
      <c r="LH92" s="12" t="s">
        <v>34</v>
      </c>
      <c r="LI92" s="12" t="s">
        <v>619</v>
      </c>
      <c r="LJ92" s="12" t="s">
        <v>619</v>
      </c>
      <c r="LK92" s="12" t="s">
        <v>34</v>
      </c>
      <c r="LL92" s="13" t="s">
        <v>34</v>
      </c>
      <c r="LM92" s="13" t="s">
        <v>34</v>
      </c>
      <c r="LN92" s="13" t="s">
        <v>34</v>
      </c>
      <c r="LO92" s="13" t="s">
        <v>34</v>
      </c>
      <c r="LP92" s="90" t="s">
        <v>34</v>
      </c>
      <c r="LQ92" s="13" t="s">
        <v>34</v>
      </c>
      <c r="LR92" s="13" t="s">
        <v>34</v>
      </c>
      <c r="LS92" s="13"/>
      <c r="LT92" s="13" t="s">
        <v>34</v>
      </c>
      <c r="LU92" s="13" t="s">
        <v>34</v>
      </c>
      <c r="LV92" s="13" t="s">
        <v>34</v>
      </c>
      <c r="LW92" s="13" t="s">
        <v>34</v>
      </c>
      <c r="LX92" s="13" t="s">
        <v>34</v>
      </c>
      <c r="LY92" s="13" t="s">
        <v>34</v>
      </c>
      <c r="LZ92" s="13" t="s">
        <v>34</v>
      </c>
      <c r="MA92" s="13" t="s">
        <v>619</v>
      </c>
      <c r="MB92" s="13" t="s">
        <v>34</v>
      </c>
      <c r="MC92" s="13" t="s">
        <v>34</v>
      </c>
      <c r="MD92" s="13" t="s">
        <v>619</v>
      </c>
      <c r="ME92" s="13" t="s">
        <v>34</v>
      </c>
      <c r="MF92" s="13" t="s">
        <v>34</v>
      </c>
      <c r="MG92" s="13" t="s">
        <v>34</v>
      </c>
      <c r="MH92" s="13" t="s">
        <v>34</v>
      </c>
      <c r="MI92" s="13" t="s">
        <v>34</v>
      </c>
      <c r="MJ92" s="13" t="s">
        <v>34</v>
      </c>
      <c r="MK92" s="13" t="s">
        <v>34</v>
      </c>
      <c r="ML92" s="13" t="s">
        <v>34</v>
      </c>
      <c r="MM92" s="13" t="s">
        <v>34</v>
      </c>
      <c r="MN92" s="13" t="s">
        <v>34</v>
      </c>
      <c r="MO92" s="13" t="s">
        <v>619</v>
      </c>
      <c r="MP92" s="13" t="s">
        <v>34</v>
      </c>
      <c r="MQ92" s="13" t="s">
        <v>619</v>
      </c>
      <c r="MR92" s="13" t="s">
        <v>34</v>
      </c>
      <c r="MS92" s="13" t="s">
        <v>34</v>
      </c>
      <c r="MT92" s="13" t="s">
        <v>34</v>
      </c>
      <c r="MU92" s="13" t="s">
        <v>34</v>
      </c>
      <c r="MV92" s="13" t="s">
        <v>619</v>
      </c>
      <c r="MW92" s="13" t="s">
        <v>34</v>
      </c>
      <c r="MX92" s="13" t="s">
        <v>34</v>
      </c>
      <c r="MY92" s="28" t="s">
        <v>296</v>
      </c>
      <c r="MZ92" s="28" t="s">
        <v>297</v>
      </c>
      <c r="NA92" s="28" t="s">
        <v>296</v>
      </c>
      <c r="NB92" s="28" t="s">
        <v>296</v>
      </c>
      <c r="NC92" s="28" t="s">
        <v>296</v>
      </c>
      <c r="ND92" s="28" t="s">
        <v>296</v>
      </c>
      <c r="NE92" s="28" t="s">
        <v>296</v>
      </c>
      <c r="NF92" s="28" t="s">
        <v>297</v>
      </c>
      <c r="NG92" s="28" t="s">
        <v>297</v>
      </c>
      <c r="NH92" s="28" t="s">
        <v>297</v>
      </c>
      <c r="NI92" s="177" t="s">
        <v>296</v>
      </c>
      <c r="NJ92" s="177" t="s">
        <v>297</v>
      </c>
      <c r="NK92" s="177" t="s">
        <v>296</v>
      </c>
      <c r="NL92" s="177" t="s">
        <v>297</v>
      </c>
      <c r="NM92" s="177" t="s">
        <v>296</v>
      </c>
      <c r="NN92" s="177" t="s">
        <v>296</v>
      </c>
      <c r="NO92" s="177" t="s">
        <v>296</v>
      </c>
      <c r="NP92" s="177" t="s">
        <v>296</v>
      </c>
      <c r="NQ92" s="177" t="s">
        <v>296</v>
      </c>
      <c r="NR92" s="12" t="s">
        <v>34</v>
      </c>
      <c r="NS92" s="13" t="s">
        <v>34</v>
      </c>
    </row>
    <row r="93" spans="1:383" x14ac:dyDescent="0.25">
      <c r="A93" s="8" t="s">
        <v>225</v>
      </c>
      <c r="B93" s="9" t="s">
        <v>226</v>
      </c>
      <c r="C93" s="9">
        <v>11</v>
      </c>
      <c r="D93" s="9" t="s">
        <v>196</v>
      </c>
      <c r="E93" s="10">
        <v>191</v>
      </c>
      <c r="F93" s="10">
        <v>184</v>
      </c>
      <c r="G93" s="10">
        <v>182</v>
      </c>
      <c r="H93" s="10">
        <v>170</v>
      </c>
      <c r="I93" s="10">
        <v>100</v>
      </c>
      <c r="J93" s="11">
        <v>1006</v>
      </c>
      <c r="K93" s="14">
        <v>1025</v>
      </c>
      <c r="L93" s="14">
        <v>1056</v>
      </c>
      <c r="M93" s="14">
        <v>999</v>
      </c>
      <c r="N93" s="14">
        <v>655</v>
      </c>
      <c r="O93" s="13">
        <v>25992</v>
      </c>
      <c r="P93" s="13">
        <v>26204</v>
      </c>
      <c r="Q93" s="13">
        <v>26214</v>
      </c>
      <c r="R93" s="13">
        <v>25223</v>
      </c>
      <c r="S93" s="13">
        <v>16205</v>
      </c>
      <c r="T93" s="12">
        <v>7266</v>
      </c>
      <c r="U93" s="12">
        <v>8043</v>
      </c>
      <c r="V93" s="12">
        <v>8307</v>
      </c>
      <c r="W93" s="12">
        <v>7955</v>
      </c>
      <c r="X93" s="12">
        <v>4447</v>
      </c>
      <c r="Y93" s="12">
        <v>2.88</v>
      </c>
      <c r="Z93" s="12">
        <v>2.89</v>
      </c>
      <c r="AA93" s="12">
        <v>3.04</v>
      </c>
      <c r="AB93" s="13">
        <v>2.54</v>
      </c>
      <c r="AC93" s="13">
        <v>2.5499999999999998</v>
      </c>
      <c r="AD93" s="13">
        <v>3.04</v>
      </c>
      <c r="AE93" s="35" t="s">
        <v>258</v>
      </c>
      <c r="AF93" s="35" t="s">
        <v>258</v>
      </c>
      <c r="AG93" s="35" t="s">
        <v>258</v>
      </c>
      <c r="AH93" s="38">
        <v>1</v>
      </c>
      <c r="AI93" s="38">
        <v>1</v>
      </c>
      <c r="AJ93" s="38">
        <v>1</v>
      </c>
      <c r="AK93" s="45" t="s">
        <v>34</v>
      </c>
      <c r="AL93" s="45" t="s">
        <v>34</v>
      </c>
      <c r="AM93" s="45" t="s">
        <v>34</v>
      </c>
      <c r="AN93" s="45" t="s">
        <v>34</v>
      </c>
      <c r="AO93" s="45" t="s">
        <v>34</v>
      </c>
      <c r="AP93" s="45" t="s">
        <v>292</v>
      </c>
      <c r="AQ93" s="53" t="s">
        <v>296</v>
      </c>
      <c r="AR93" s="56">
        <v>320</v>
      </c>
      <c r="AS93" s="57">
        <v>164</v>
      </c>
      <c r="AT93" s="56">
        <v>329</v>
      </c>
      <c r="AU93" s="57">
        <v>66534</v>
      </c>
      <c r="AV93" s="57">
        <v>23425</v>
      </c>
      <c r="AW93" s="57">
        <v>36680</v>
      </c>
      <c r="AX93" s="57">
        <v>22</v>
      </c>
      <c r="AY93" s="57">
        <v>15</v>
      </c>
      <c r="AZ93" s="57">
        <v>13</v>
      </c>
      <c r="BA93" s="57">
        <v>2424</v>
      </c>
      <c r="BB93" s="57">
        <v>1250</v>
      </c>
      <c r="BC93" s="57">
        <v>460</v>
      </c>
      <c r="BD93" s="57">
        <v>0</v>
      </c>
      <c r="BE93" s="57">
        <v>620</v>
      </c>
      <c r="BF93" s="57">
        <v>0</v>
      </c>
      <c r="BG93" s="57">
        <v>0</v>
      </c>
      <c r="BH93" s="57">
        <v>0</v>
      </c>
      <c r="BI93" s="57">
        <v>0</v>
      </c>
      <c r="BJ93" s="57" t="s">
        <v>296</v>
      </c>
      <c r="BK93" s="57">
        <v>100</v>
      </c>
      <c r="BL93" s="57">
        <v>10</v>
      </c>
      <c r="BM93" s="57">
        <v>2</v>
      </c>
      <c r="BN93" s="57">
        <v>3004</v>
      </c>
      <c r="BO93" s="57">
        <v>706</v>
      </c>
      <c r="BP93" s="57">
        <v>1324</v>
      </c>
      <c r="BQ93" s="76">
        <v>830</v>
      </c>
      <c r="BR93" s="76">
        <v>822</v>
      </c>
      <c r="BS93">
        <v>816</v>
      </c>
      <c r="BT93">
        <v>816</v>
      </c>
      <c r="BU93">
        <v>814</v>
      </c>
      <c r="BV93">
        <v>144289</v>
      </c>
      <c r="BW93">
        <v>144767</v>
      </c>
      <c r="BX93">
        <v>146039</v>
      </c>
      <c r="BY93">
        <v>146290</v>
      </c>
      <c r="BZ93">
        <v>146145</v>
      </c>
      <c r="CA93">
        <v>221</v>
      </c>
      <c r="CB93">
        <v>205</v>
      </c>
      <c r="CC93">
        <v>206</v>
      </c>
      <c r="CD93">
        <v>191</v>
      </c>
      <c r="CE93">
        <v>200</v>
      </c>
      <c r="CF93">
        <v>33258</v>
      </c>
      <c r="CG93">
        <v>34247</v>
      </c>
      <c r="CH93">
        <v>34521</v>
      </c>
      <c r="CI93">
        <v>33178</v>
      </c>
      <c r="CJ93">
        <v>20652</v>
      </c>
      <c r="CK93" s="10">
        <v>15</v>
      </c>
      <c r="CL93" s="10">
        <v>15.1</v>
      </c>
      <c r="CM93" s="10">
        <v>0</v>
      </c>
      <c r="CN93" s="14">
        <v>11.5</v>
      </c>
      <c r="CO93" s="14">
        <v>11.49</v>
      </c>
      <c r="CP93" s="14">
        <v>11.59</v>
      </c>
      <c r="CQ93" s="13">
        <v>53</v>
      </c>
      <c r="CR93" s="13">
        <v>3</v>
      </c>
      <c r="CS93" s="13">
        <v>0</v>
      </c>
      <c r="CT93" s="10">
        <v>0</v>
      </c>
      <c r="CU93" s="10">
        <v>0</v>
      </c>
      <c r="CV93" s="10">
        <v>67</v>
      </c>
      <c r="CW93" s="10">
        <v>41</v>
      </c>
      <c r="CX93" s="10">
        <v>4</v>
      </c>
      <c r="CY93" s="10">
        <v>0</v>
      </c>
      <c r="CZ93" s="10">
        <v>0</v>
      </c>
      <c r="DA93" s="10">
        <v>0</v>
      </c>
      <c r="DB93" s="10">
        <v>12</v>
      </c>
      <c r="DC93" s="10">
        <v>0</v>
      </c>
      <c r="DD93" s="10">
        <v>4</v>
      </c>
      <c r="DE93" s="10">
        <v>0</v>
      </c>
      <c r="DF93" s="10">
        <v>0</v>
      </c>
      <c r="DG93" s="10">
        <v>0</v>
      </c>
      <c r="DH93" s="10">
        <v>0</v>
      </c>
      <c r="DI93" s="81">
        <v>6</v>
      </c>
      <c r="DJ93" s="81">
        <v>10</v>
      </c>
      <c r="DK93" s="81">
        <v>28</v>
      </c>
      <c r="DL93" s="81">
        <v>6</v>
      </c>
      <c r="DM93" s="81">
        <v>41</v>
      </c>
      <c r="DN93" s="12">
        <v>20</v>
      </c>
      <c r="DO93" s="12">
        <v>12</v>
      </c>
      <c r="DP93" s="12">
        <v>0</v>
      </c>
      <c r="DQ93" s="12">
        <v>0</v>
      </c>
      <c r="DR93" s="12">
        <v>0</v>
      </c>
      <c r="DS93" s="12">
        <v>11</v>
      </c>
      <c r="DT93" s="12">
        <v>0</v>
      </c>
      <c r="DU93" s="12">
        <v>0</v>
      </c>
      <c r="DV93" s="12">
        <v>8</v>
      </c>
      <c r="DW93" s="12">
        <v>17</v>
      </c>
      <c r="DX93" s="12">
        <v>0</v>
      </c>
      <c r="DY93" s="12">
        <v>20</v>
      </c>
      <c r="DZ93" s="12">
        <v>0</v>
      </c>
      <c r="EA93" s="12">
        <v>0</v>
      </c>
      <c r="EB93" s="12">
        <v>32</v>
      </c>
      <c r="EC93" s="12">
        <v>0</v>
      </c>
      <c r="ED93" s="12">
        <v>21</v>
      </c>
      <c r="EE93" s="12">
        <v>0</v>
      </c>
      <c r="EF93" s="12">
        <v>13</v>
      </c>
      <c r="EG93" s="12">
        <v>0</v>
      </c>
      <c r="EH93" s="12">
        <v>0</v>
      </c>
      <c r="EI93" s="12">
        <v>0</v>
      </c>
      <c r="EJ93" s="12">
        <v>0</v>
      </c>
      <c r="EK93" s="12">
        <v>0</v>
      </c>
      <c r="EL93" s="12">
        <v>9</v>
      </c>
      <c r="EM93" s="12">
        <v>4</v>
      </c>
      <c r="EN93" s="12">
        <v>15</v>
      </c>
      <c r="EO93" s="12">
        <v>1</v>
      </c>
      <c r="EP93" s="12">
        <v>1</v>
      </c>
      <c r="EQ93" s="12">
        <v>10</v>
      </c>
      <c r="ER93" s="12">
        <v>0</v>
      </c>
      <c r="ES93" s="13">
        <v>4</v>
      </c>
      <c r="ET93" s="13">
        <v>8</v>
      </c>
      <c r="EU93" s="13">
        <v>0</v>
      </c>
      <c r="EV93" s="10">
        <v>0</v>
      </c>
      <c r="EW93" s="10">
        <v>0</v>
      </c>
      <c r="EX93" s="10">
        <v>21</v>
      </c>
      <c r="EY93" s="10">
        <v>8</v>
      </c>
      <c r="EZ93" s="10">
        <v>0</v>
      </c>
      <c r="FA93" s="10">
        <v>0</v>
      </c>
      <c r="FB93" s="10">
        <v>0</v>
      </c>
      <c r="FC93" s="10">
        <v>0</v>
      </c>
      <c r="FD93" s="10">
        <v>4</v>
      </c>
      <c r="FE93" s="10">
        <v>0</v>
      </c>
      <c r="FF93" s="10">
        <v>0</v>
      </c>
      <c r="FG93" s="10">
        <v>0</v>
      </c>
      <c r="FH93" s="10">
        <v>0</v>
      </c>
      <c r="FI93" s="10">
        <v>0</v>
      </c>
      <c r="FJ93" s="10">
        <v>0</v>
      </c>
      <c r="FK93" s="81">
        <v>2</v>
      </c>
      <c r="FL93" s="81">
        <v>3</v>
      </c>
      <c r="FM93" s="81">
        <v>10</v>
      </c>
      <c r="FN93" s="81">
        <v>0</v>
      </c>
      <c r="FO93" s="81">
        <v>27</v>
      </c>
      <c r="FP93" s="12">
        <v>19</v>
      </c>
      <c r="FQ93" s="12">
        <v>0</v>
      </c>
      <c r="FR93" s="12">
        <v>0</v>
      </c>
      <c r="FS93" s="12">
        <v>0</v>
      </c>
      <c r="FT93" s="12">
        <v>0</v>
      </c>
      <c r="FU93" s="12">
        <v>0</v>
      </c>
      <c r="FV93" s="12">
        <v>0</v>
      </c>
      <c r="FW93" s="12">
        <v>1</v>
      </c>
      <c r="FX93" s="12">
        <v>10</v>
      </c>
      <c r="FY93" s="12">
        <v>0</v>
      </c>
      <c r="FZ93" s="12">
        <v>0</v>
      </c>
      <c r="GA93" s="12">
        <v>0</v>
      </c>
      <c r="GB93" s="12">
        <v>0</v>
      </c>
      <c r="GC93" s="12">
        <v>0</v>
      </c>
      <c r="GD93" s="12">
        <v>21</v>
      </c>
      <c r="GE93" s="12">
        <v>0</v>
      </c>
      <c r="GF93" s="12">
        <v>5</v>
      </c>
      <c r="GG93" s="12">
        <v>0</v>
      </c>
      <c r="GH93" s="12">
        <v>12</v>
      </c>
      <c r="GI93" s="12">
        <v>0</v>
      </c>
      <c r="GJ93" s="12">
        <v>0</v>
      </c>
      <c r="GK93" s="12">
        <v>0</v>
      </c>
      <c r="GL93" s="12">
        <v>0</v>
      </c>
      <c r="GM93" s="12">
        <v>0</v>
      </c>
      <c r="GN93" s="12">
        <v>1</v>
      </c>
      <c r="GO93" s="12">
        <v>3</v>
      </c>
      <c r="GP93" s="12">
        <v>8</v>
      </c>
      <c r="GQ93" s="12">
        <v>9</v>
      </c>
      <c r="GR93" s="12">
        <v>2</v>
      </c>
      <c r="GS93" s="12">
        <v>0</v>
      </c>
      <c r="GT93" s="12">
        <v>10</v>
      </c>
      <c r="GU93" s="13">
        <v>164</v>
      </c>
      <c r="GV93" s="13">
        <v>100</v>
      </c>
      <c r="GW93" s="13">
        <v>7</v>
      </c>
      <c r="GX93" s="13">
        <v>0</v>
      </c>
      <c r="GY93" s="10">
        <v>0</v>
      </c>
      <c r="GZ93" s="10">
        <v>0</v>
      </c>
      <c r="HA93" s="10">
        <v>26</v>
      </c>
      <c r="HB93" s="10">
        <v>58</v>
      </c>
      <c r="HC93" s="10">
        <v>16</v>
      </c>
      <c r="HD93" s="10">
        <v>0</v>
      </c>
      <c r="HE93" s="10">
        <v>0</v>
      </c>
      <c r="HF93" s="10">
        <v>0</v>
      </c>
      <c r="HG93" s="10">
        <v>6</v>
      </c>
      <c r="HH93" s="10">
        <v>0</v>
      </c>
      <c r="HI93" s="10">
        <v>0</v>
      </c>
      <c r="HJ93" s="10">
        <v>0</v>
      </c>
      <c r="HK93" s="10">
        <v>0</v>
      </c>
      <c r="HL93" s="10">
        <v>0</v>
      </c>
      <c r="HM93" s="10">
        <v>20</v>
      </c>
      <c r="HN93" s="81">
        <v>0</v>
      </c>
      <c r="HO93" s="81">
        <v>0</v>
      </c>
      <c r="HP93" s="81">
        <v>140</v>
      </c>
      <c r="HQ93" s="81">
        <v>0</v>
      </c>
      <c r="HR93" s="81">
        <v>0</v>
      </c>
      <c r="HS93" s="12">
        <v>11</v>
      </c>
      <c r="HT93" s="12">
        <v>11</v>
      </c>
      <c r="HU93" s="12">
        <v>0</v>
      </c>
      <c r="HV93" s="12">
        <v>0</v>
      </c>
      <c r="HW93" s="12">
        <v>0</v>
      </c>
      <c r="HX93" s="12">
        <v>16</v>
      </c>
      <c r="HY93" s="12">
        <v>0</v>
      </c>
      <c r="HZ93" s="12">
        <v>14</v>
      </c>
      <c r="IA93" s="12">
        <v>0</v>
      </c>
      <c r="IB93" s="12">
        <v>11</v>
      </c>
      <c r="IC93" s="12">
        <v>0</v>
      </c>
      <c r="ID93" s="12">
        <v>11</v>
      </c>
      <c r="IE93" s="12">
        <v>0</v>
      </c>
      <c r="IF93" s="12">
        <v>0</v>
      </c>
      <c r="IG93" s="12">
        <v>42</v>
      </c>
      <c r="IH93" s="12">
        <v>0</v>
      </c>
      <c r="II93" s="12">
        <v>129</v>
      </c>
      <c r="IJ93" s="12">
        <v>10</v>
      </c>
      <c r="IK93" s="12">
        <v>16</v>
      </c>
      <c r="IL93" s="12">
        <v>0</v>
      </c>
      <c r="IM93" s="12">
        <v>1</v>
      </c>
      <c r="IN93" s="12">
        <v>0</v>
      </c>
      <c r="IO93" s="12">
        <v>0</v>
      </c>
      <c r="IP93" s="12">
        <v>0</v>
      </c>
      <c r="IQ93" s="12">
        <v>11</v>
      </c>
      <c r="IR93" s="12">
        <v>6</v>
      </c>
      <c r="IS93" s="12">
        <v>11</v>
      </c>
      <c r="IT93" s="12">
        <v>0</v>
      </c>
      <c r="IU93" s="12">
        <v>0</v>
      </c>
      <c r="IV93" s="12">
        <v>0</v>
      </c>
      <c r="IW93" s="12">
        <v>11</v>
      </c>
      <c r="IX93" s="14">
        <v>90000</v>
      </c>
      <c r="IY93" s="14">
        <v>90000</v>
      </c>
      <c r="IZ93" s="14">
        <v>85000</v>
      </c>
      <c r="JA93" s="85" t="s">
        <v>604</v>
      </c>
      <c r="JB93" s="85">
        <v>0</v>
      </c>
      <c r="JC93" s="85" t="s">
        <v>361</v>
      </c>
      <c r="JD93" s="12">
        <v>27</v>
      </c>
      <c r="JE93" s="12">
        <v>13</v>
      </c>
      <c r="JF93" s="12">
        <v>26</v>
      </c>
      <c r="JG93" s="12">
        <v>8</v>
      </c>
      <c r="JH93" s="12">
        <v>25</v>
      </c>
      <c r="JI93" s="12">
        <v>13</v>
      </c>
      <c r="JJ93" s="13" t="s">
        <v>619</v>
      </c>
      <c r="JK93" s="13" t="s">
        <v>619</v>
      </c>
      <c r="JL93" s="13" t="s">
        <v>296</v>
      </c>
      <c r="JM93" s="89"/>
      <c r="JN93" s="89"/>
      <c r="JO93" s="89" t="s">
        <v>296</v>
      </c>
      <c r="JP93" s="89"/>
      <c r="JQ93" s="89"/>
      <c r="JR93" s="89" t="s">
        <v>296</v>
      </c>
      <c r="JS93" s="89" t="s">
        <v>619</v>
      </c>
      <c r="JT93" s="89" t="s">
        <v>619</v>
      </c>
      <c r="JU93" s="89" t="s">
        <v>296</v>
      </c>
      <c r="JV93" s="89"/>
      <c r="JW93" s="89"/>
      <c r="JX93" s="89" t="s">
        <v>297</v>
      </c>
      <c r="JY93" s="12" t="s">
        <v>619</v>
      </c>
      <c r="JZ93" s="12" t="s">
        <v>619</v>
      </c>
      <c r="KA93" s="12" t="s">
        <v>34</v>
      </c>
      <c r="KB93" s="12" t="s">
        <v>34</v>
      </c>
      <c r="KC93" s="12" t="s">
        <v>34</v>
      </c>
      <c r="KD93" s="12" t="s">
        <v>34</v>
      </c>
      <c r="KE93" s="12" t="s">
        <v>34</v>
      </c>
      <c r="KF93" s="12"/>
      <c r="KG93" s="12" t="s">
        <v>619</v>
      </c>
      <c r="KH93" s="12" t="s">
        <v>34</v>
      </c>
      <c r="KI93" s="12" t="s">
        <v>34</v>
      </c>
      <c r="KJ93" s="12" t="s">
        <v>619</v>
      </c>
      <c r="KK93" s="12" t="s">
        <v>619</v>
      </c>
      <c r="KL93" s="12" t="s">
        <v>34</v>
      </c>
      <c r="KM93" s="12" t="s">
        <v>34</v>
      </c>
      <c r="KN93" s="12" t="s">
        <v>34</v>
      </c>
      <c r="KO93" s="12" t="s">
        <v>34</v>
      </c>
      <c r="KP93" s="12" t="s">
        <v>34</v>
      </c>
      <c r="KQ93" s="12" t="s">
        <v>34</v>
      </c>
      <c r="KR93" s="12" t="s">
        <v>619</v>
      </c>
      <c r="KS93" s="12" t="s">
        <v>34</v>
      </c>
      <c r="KT93" s="12" t="s">
        <v>34</v>
      </c>
      <c r="KU93" s="12" t="s">
        <v>619</v>
      </c>
      <c r="KV93" s="12" t="s">
        <v>34</v>
      </c>
      <c r="KW93" s="12" t="s">
        <v>34</v>
      </c>
      <c r="KX93" s="12" t="s">
        <v>34</v>
      </c>
      <c r="KY93" s="12" t="s">
        <v>34</v>
      </c>
      <c r="KZ93" s="12" t="s">
        <v>34</v>
      </c>
      <c r="LA93" s="12" t="s">
        <v>34</v>
      </c>
      <c r="LB93" s="12" t="s">
        <v>34</v>
      </c>
      <c r="LC93" s="12" t="s">
        <v>619</v>
      </c>
      <c r="LD93" s="12" t="s">
        <v>34</v>
      </c>
      <c r="LE93" s="12" t="s">
        <v>619</v>
      </c>
      <c r="LF93" s="12" t="s">
        <v>34</v>
      </c>
      <c r="LG93" s="12" t="s">
        <v>34</v>
      </c>
      <c r="LH93" s="12" t="s">
        <v>619</v>
      </c>
      <c r="LI93" s="12" t="s">
        <v>34</v>
      </c>
      <c r="LJ93" s="12" t="s">
        <v>619</v>
      </c>
      <c r="LK93" s="12" t="s">
        <v>619</v>
      </c>
      <c r="LL93" s="13" t="s">
        <v>34</v>
      </c>
      <c r="LM93" s="13" t="s">
        <v>34</v>
      </c>
      <c r="LN93" s="13" t="s">
        <v>619</v>
      </c>
      <c r="LO93" s="13" t="s">
        <v>619</v>
      </c>
      <c r="LP93" s="90" t="s">
        <v>34</v>
      </c>
      <c r="LQ93" s="13" t="s">
        <v>34</v>
      </c>
      <c r="LR93" s="13" t="s">
        <v>34</v>
      </c>
      <c r="LS93" s="13"/>
      <c r="LT93" s="13" t="s">
        <v>34</v>
      </c>
      <c r="LU93" s="13" t="s">
        <v>619</v>
      </c>
      <c r="LV93" s="13" t="s">
        <v>34</v>
      </c>
      <c r="LW93" s="13" t="s">
        <v>34</v>
      </c>
      <c r="LX93" s="13" t="s">
        <v>34</v>
      </c>
      <c r="LY93" s="13" t="s">
        <v>34</v>
      </c>
      <c r="LZ93" s="13" t="s">
        <v>34</v>
      </c>
      <c r="MA93" s="13" t="s">
        <v>619</v>
      </c>
      <c r="MB93" s="13" t="s">
        <v>34</v>
      </c>
      <c r="MC93" s="13" t="s">
        <v>34</v>
      </c>
      <c r="MD93" s="13" t="s">
        <v>619</v>
      </c>
      <c r="ME93" s="13" t="s">
        <v>34</v>
      </c>
      <c r="MF93" s="13" t="s">
        <v>34</v>
      </c>
      <c r="MG93" s="13" t="s">
        <v>34</v>
      </c>
      <c r="MH93" s="13" t="s">
        <v>34</v>
      </c>
      <c r="MI93" s="13" t="s">
        <v>34</v>
      </c>
      <c r="MJ93" s="13" t="s">
        <v>34</v>
      </c>
      <c r="MK93" s="13" t="s">
        <v>34</v>
      </c>
      <c r="ML93" s="13" t="s">
        <v>34</v>
      </c>
      <c r="MM93" s="13" t="s">
        <v>619</v>
      </c>
      <c r="MN93" s="13" t="s">
        <v>34</v>
      </c>
      <c r="MO93" s="13" t="s">
        <v>619</v>
      </c>
      <c r="MP93" s="13" t="s">
        <v>34</v>
      </c>
      <c r="MQ93" s="13" t="s">
        <v>619</v>
      </c>
      <c r="MR93" s="13" t="s">
        <v>34</v>
      </c>
      <c r="MS93" s="13" t="s">
        <v>34</v>
      </c>
      <c r="MT93" s="13" t="s">
        <v>34</v>
      </c>
      <c r="MU93" s="13" t="s">
        <v>34</v>
      </c>
      <c r="MV93" s="13" t="s">
        <v>34</v>
      </c>
      <c r="MW93" s="13" t="s">
        <v>34</v>
      </c>
      <c r="MX93" s="13" t="s">
        <v>34</v>
      </c>
      <c r="MY93" s="28" t="s">
        <v>296</v>
      </c>
      <c r="MZ93" s="28" t="s">
        <v>296</v>
      </c>
      <c r="NA93" s="28" t="s">
        <v>296</v>
      </c>
      <c r="NB93" s="28" t="s">
        <v>296</v>
      </c>
      <c r="NC93" s="28" t="s">
        <v>296</v>
      </c>
      <c r="ND93" s="28" t="s">
        <v>296</v>
      </c>
      <c r="NE93" s="28" t="s">
        <v>296</v>
      </c>
      <c r="NF93" s="28" t="s">
        <v>296</v>
      </c>
      <c r="NG93" s="28" t="s">
        <v>297</v>
      </c>
      <c r="NH93" s="28" t="s">
        <v>297</v>
      </c>
      <c r="NI93" s="177" t="s">
        <v>296</v>
      </c>
      <c r="NJ93" s="177" t="s">
        <v>296</v>
      </c>
      <c r="NK93" s="177" t="s">
        <v>296</v>
      </c>
      <c r="NL93" s="177" t="s">
        <v>296</v>
      </c>
      <c r="NM93" s="177" t="s">
        <v>296</v>
      </c>
      <c r="NN93" s="177" t="s">
        <v>296</v>
      </c>
      <c r="NO93" s="177" t="s">
        <v>296</v>
      </c>
      <c r="NP93" s="177" t="s">
        <v>296</v>
      </c>
      <c r="NQ93" s="177" t="s">
        <v>296</v>
      </c>
      <c r="NR93" s="12" t="s">
        <v>34</v>
      </c>
      <c r="NS93" s="13" t="s">
        <v>34</v>
      </c>
    </row>
    <row r="94" spans="1:383" x14ac:dyDescent="0.25">
      <c r="A94" s="8" t="s">
        <v>227</v>
      </c>
      <c r="B94" s="9" t="s">
        <v>228</v>
      </c>
      <c r="C94" s="9">
        <v>11</v>
      </c>
      <c r="D94" s="9" t="s">
        <v>196</v>
      </c>
      <c r="E94" s="10">
        <v>8</v>
      </c>
      <c r="F94" s="10">
        <v>9</v>
      </c>
      <c r="G94" s="10">
        <v>8</v>
      </c>
      <c r="H94" s="10">
        <v>8</v>
      </c>
      <c r="I94" s="10">
        <v>7</v>
      </c>
      <c r="J94" s="11">
        <v>48</v>
      </c>
      <c r="K94" s="11">
        <v>65</v>
      </c>
      <c r="L94" s="11">
        <v>75</v>
      </c>
      <c r="M94" s="11">
        <v>61</v>
      </c>
      <c r="N94" s="11">
        <v>54</v>
      </c>
      <c r="O94" s="13">
        <v>605</v>
      </c>
      <c r="P94" s="13">
        <v>864</v>
      </c>
      <c r="Q94" s="13">
        <v>778</v>
      </c>
      <c r="R94" s="13">
        <v>730</v>
      </c>
      <c r="S94" s="13">
        <v>789</v>
      </c>
      <c r="T94" s="12">
        <v>0</v>
      </c>
      <c r="U94" s="12">
        <v>0</v>
      </c>
      <c r="V94" s="12">
        <v>1</v>
      </c>
      <c r="W94" s="12">
        <v>16</v>
      </c>
      <c r="X94" s="12">
        <v>0</v>
      </c>
      <c r="Y94" s="12">
        <v>5.94</v>
      </c>
      <c r="Z94" s="12">
        <v>5.96</v>
      </c>
      <c r="AA94" s="12">
        <v>5.96</v>
      </c>
      <c r="AB94" s="13">
        <v>5.94</v>
      </c>
      <c r="AC94" s="13">
        <v>5.96</v>
      </c>
      <c r="AD94" s="13">
        <v>5.96</v>
      </c>
      <c r="AE94" s="35" t="s">
        <v>259</v>
      </c>
      <c r="AF94" s="35" t="s">
        <v>259</v>
      </c>
      <c r="AG94" s="35" t="s">
        <v>259</v>
      </c>
      <c r="AH94" s="38">
        <v>0.5</v>
      </c>
      <c r="AI94" s="38">
        <v>0.5</v>
      </c>
      <c r="AJ94" s="38">
        <v>0.5</v>
      </c>
      <c r="AK94" s="45" t="s">
        <v>34</v>
      </c>
      <c r="AL94" s="45" t="s">
        <v>34</v>
      </c>
      <c r="AM94" s="45" t="s">
        <v>34</v>
      </c>
      <c r="AN94" s="45" t="s">
        <v>293</v>
      </c>
      <c r="AO94" s="45" t="s">
        <v>34</v>
      </c>
      <c r="AP94" s="45" t="s">
        <v>34</v>
      </c>
      <c r="AQ94" s="53" t="s">
        <v>297</v>
      </c>
      <c r="AR94" s="56">
        <v>11</v>
      </c>
      <c r="AS94" s="57">
        <v>2</v>
      </c>
      <c r="AT94" s="56">
        <v>8</v>
      </c>
      <c r="AU94" s="57">
        <v>915</v>
      </c>
      <c r="AV94" s="57">
        <v>536</v>
      </c>
      <c r="AW94" s="57">
        <v>914</v>
      </c>
      <c r="AX94" s="57">
        <v>4</v>
      </c>
      <c r="AY94" s="57">
        <v>0</v>
      </c>
      <c r="AZ94" s="57">
        <v>0</v>
      </c>
      <c r="BA94" s="57">
        <v>210</v>
      </c>
      <c r="BB94" s="57">
        <v>568</v>
      </c>
      <c r="BC94" s="57">
        <v>1176</v>
      </c>
      <c r="BD94" s="57">
        <v>209</v>
      </c>
      <c r="BE94" s="57">
        <v>226</v>
      </c>
      <c r="BF94" s="57">
        <v>572</v>
      </c>
      <c r="BG94" s="57">
        <v>193</v>
      </c>
      <c r="BH94" s="57">
        <v>262</v>
      </c>
      <c r="BI94" s="57">
        <v>1329</v>
      </c>
      <c r="BJ94" s="57" t="s">
        <v>297</v>
      </c>
      <c r="BK94" s="57">
        <v>3</v>
      </c>
      <c r="BL94" s="57">
        <v>0</v>
      </c>
      <c r="BM94" s="57">
        <v>0</v>
      </c>
      <c r="BN94" s="57">
        <v>200</v>
      </c>
      <c r="BO94" s="57">
        <v>650</v>
      </c>
      <c r="BP94" s="57">
        <v>751</v>
      </c>
      <c r="BQ94" s="76">
        <v>596</v>
      </c>
      <c r="BR94" s="76">
        <v>592</v>
      </c>
      <c r="BS94">
        <v>585</v>
      </c>
      <c r="BT94">
        <v>585</v>
      </c>
      <c r="BU94">
        <v>586</v>
      </c>
      <c r="BV94">
        <v>149345</v>
      </c>
      <c r="BW94">
        <v>148109</v>
      </c>
      <c r="BX94">
        <v>146533</v>
      </c>
      <c r="BY94">
        <v>145689</v>
      </c>
      <c r="BZ94">
        <v>144178</v>
      </c>
      <c r="CA94">
        <v>6</v>
      </c>
      <c r="CB94">
        <v>8</v>
      </c>
      <c r="CC94">
        <v>8</v>
      </c>
      <c r="CD94">
        <v>8</v>
      </c>
      <c r="CE94">
        <v>7</v>
      </c>
      <c r="CF94">
        <v>605</v>
      </c>
      <c r="CG94">
        <v>864</v>
      </c>
      <c r="CH94">
        <v>779</v>
      </c>
      <c r="CI94">
        <v>746</v>
      </c>
      <c r="CJ94">
        <v>789</v>
      </c>
      <c r="CK94" s="10">
        <v>18.55</v>
      </c>
      <c r="CL94" s="10">
        <v>18.649999999999999</v>
      </c>
      <c r="CM94" s="10">
        <v>18.649999999999999</v>
      </c>
      <c r="CN94" s="11">
        <v>18.55</v>
      </c>
      <c r="CO94" s="11">
        <v>18.55</v>
      </c>
      <c r="CP94" s="11">
        <v>18.55</v>
      </c>
      <c r="CQ94" s="13">
        <v>2</v>
      </c>
      <c r="CR94" s="13">
        <v>1</v>
      </c>
      <c r="CS94" s="13">
        <v>0</v>
      </c>
      <c r="CT94" s="10">
        <v>0</v>
      </c>
      <c r="CU94" s="10">
        <v>0</v>
      </c>
      <c r="CV94" s="10">
        <v>1</v>
      </c>
      <c r="CW94" s="10">
        <v>1</v>
      </c>
      <c r="CX94" s="10">
        <v>1</v>
      </c>
      <c r="CY94" s="10">
        <v>0</v>
      </c>
      <c r="CZ94" s="10">
        <v>0</v>
      </c>
      <c r="DA94" s="10">
        <v>0</v>
      </c>
      <c r="DB94" s="10">
        <v>1</v>
      </c>
      <c r="DC94" s="10">
        <v>0</v>
      </c>
      <c r="DD94" s="10">
        <v>0</v>
      </c>
      <c r="DE94" s="10">
        <v>2</v>
      </c>
      <c r="DF94" s="10">
        <v>0</v>
      </c>
      <c r="DG94" s="10">
        <v>0</v>
      </c>
      <c r="DH94" s="10">
        <v>0</v>
      </c>
      <c r="DI94" s="81">
        <v>0</v>
      </c>
      <c r="DJ94" s="81">
        <v>1</v>
      </c>
      <c r="DK94" s="81">
        <v>0</v>
      </c>
      <c r="DL94" s="81">
        <v>0</v>
      </c>
      <c r="DM94" s="81">
        <v>0</v>
      </c>
      <c r="DN94" s="12">
        <v>0</v>
      </c>
      <c r="DO94" s="12">
        <v>0</v>
      </c>
      <c r="DP94" s="12">
        <v>0</v>
      </c>
      <c r="DQ94" s="12">
        <v>0</v>
      </c>
      <c r="DR94" s="12">
        <v>0</v>
      </c>
      <c r="DS94" s="12">
        <v>0</v>
      </c>
      <c r="DT94" s="12">
        <v>0</v>
      </c>
      <c r="DU94" s="12">
        <v>0</v>
      </c>
      <c r="DV94" s="12">
        <v>0</v>
      </c>
      <c r="DW94" s="12">
        <v>2</v>
      </c>
      <c r="DX94" s="12">
        <v>0</v>
      </c>
      <c r="DY94" s="12">
        <v>0</v>
      </c>
      <c r="DZ94" s="12">
        <v>0</v>
      </c>
      <c r="EA94" s="12">
        <v>0</v>
      </c>
      <c r="EB94" s="12">
        <v>0</v>
      </c>
      <c r="EC94" s="12">
        <v>0</v>
      </c>
      <c r="ED94" s="12">
        <v>0</v>
      </c>
      <c r="EE94" s="12">
        <v>0</v>
      </c>
      <c r="EF94" s="12">
        <v>1</v>
      </c>
      <c r="EG94" s="12">
        <v>0</v>
      </c>
      <c r="EH94" s="12">
        <v>0</v>
      </c>
      <c r="EI94" s="12">
        <v>0</v>
      </c>
      <c r="EJ94" s="12">
        <v>0</v>
      </c>
      <c r="EK94" s="12">
        <v>0</v>
      </c>
      <c r="EL94" s="12">
        <v>2</v>
      </c>
      <c r="EM94" s="12">
        <v>0</v>
      </c>
      <c r="EN94" s="12">
        <v>0</v>
      </c>
      <c r="EO94" s="12">
        <v>0</v>
      </c>
      <c r="EP94" s="12">
        <v>0</v>
      </c>
      <c r="EQ94" s="12">
        <v>0</v>
      </c>
      <c r="ER94" s="12">
        <v>0</v>
      </c>
      <c r="ES94" s="13">
        <v>2</v>
      </c>
      <c r="ET94" s="13">
        <v>0</v>
      </c>
      <c r="EU94" s="13">
        <v>0</v>
      </c>
      <c r="EV94" s="10">
        <v>0</v>
      </c>
      <c r="EW94" s="10">
        <v>0</v>
      </c>
      <c r="EX94" s="10">
        <v>0</v>
      </c>
      <c r="EY94" s="10">
        <v>0</v>
      </c>
      <c r="EZ94" s="10">
        <v>0</v>
      </c>
      <c r="FA94" s="10">
        <v>0</v>
      </c>
      <c r="FB94" s="10">
        <v>0</v>
      </c>
      <c r="FC94" s="10">
        <v>0</v>
      </c>
      <c r="FD94" s="10">
        <v>0</v>
      </c>
      <c r="FE94" s="10">
        <v>0</v>
      </c>
      <c r="FF94" s="10">
        <v>0</v>
      </c>
      <c r="FG94" s="10">
        <v>0</v>
      </c>
      <c r="FH94" s="10">
        <v>0</v>
      </c>
      <c r="FI94" s="10">
        <v>0</v>
      </c>
      <c r="FJ94" s="10">
        <v>0</v>
      </c>
      <c r="FK94" s="81">
        <v>0</v>
      </c>
      <c r="FL94" s="81">
        <v>0</v>
      </c>
      <c r="FM94" s="81">
        <v>0</v>
      </c>
      <c r="FN94" s="81">
        <v>0</v>
      </c>
      <c r="FO94" s="81">
        <v>0</v>
      </c>
      <c r="FP94" s="12">
        <v>0</v>
      </c>
      <c r="FQ94" s="12">
        <v>0</v>
      </c>
      <c r="FR94" s="12">
        <v>0</v>
      </c>
      <c r="FS94" s="12">
        <v>0</v>
      </c>
      <c r="FT94" s="12">
        <v>0</v>
      </c>
      <c r="FU94" s="12">
        <v>0</v>
      </c>
      <c r="FV94" s="12">
        <v>0</v>
      </c>
      <c r="FW94" s="12">
        <v>0</v>
      </c>
      <c r="FX94" s="12">
        <v>1</v>
      </c>
      <c r="FY94" s="12">
        <v>1</v>
      </c>
      <c r="FZ94" s="12">
        <v>1</v>
      </c>
      <c r="GA94" s="12">
        <v>1</v>
      </c>
      <c r="GB94" s="12">
        <v>0</v>
      </c>
      <c r="GC94" s="12">
        <v>0</v>
      </c>
      <c r="GD94" s="12">
        <v>1</v>
      </c>
      <c r="GE94" s="12">
        <v>0</v>
      </c>
      <c r="GF94" s="12">
        <v>0</v>
      </c>
      <c r="GG94" s="12">
        <v>0</v>
      </c>
      <c r="GH94" s="12">
        <v>0</v>
      </c>
      <c r="GI94" s="12">
        <v>0</v>
      </c>
      <c r="GJ94" s="12">
        <v>0</v>
      </c>
      <c r="GK94" s="12">
        <v>0</v>
      </c>
      <c r="GL94" s="12">
        <v>0</v>
      </c>
      <c r="GM94" s="12">
        <v>0</v>
      </c>
      <c r="GN94" s="12">
        <v>0</v>
      </c>
      <c r="GO94" s="12">
        <v>1</v>
      </c>
      <c r="GP94" s="12">
        <v>0</v>
      </c>
      <c r="GQ94" s="12">
        <v>0</v>
      </c>
      <c r="GR94" s="12">
        <v>0</v>
      </c>
      <c r="GS94" s="12">
        <v>0</v>
      </c>
      <c r="GT94" s="12">
        <v>0</v>
      </c>
      <c r="GU94" s="13">
        <v>2</v>
      </c>
      <c r="GV94" s="13">
        <v>4</v>
      </c>
      <c r="GW94" s="13">
        <v>1</v>
      </c>
      <c r="GX94" s="13">
        <v>0</v>
      </c>
      <c r="GY94" s="10">
        <v>0</v>
      </c>
      <c r="GZ94" s="10">
        <v>0</v>
      </c>
      <c r="HA94" s="10">
        <v>0</v>
      </c>
      <c r="HB94" s="10">
        <v>0</v>
      </c>
      <c r="HC94" s="10">
        <v>0</v>
      </c>
      <c r="HD94" s="10">
        <v>0</v>
      </c>
      <c r="HE94" s="10">
        <v>0</v>
      </c>
      <c r="HF94" s="10">
        <v>0</v>
      </c>
      <c r="HG94" s="10">
        <v>0</v>
      </c>
      <c r="HH94" s="10">
        <v>0</v>
      </c>
      <c r="HI94" s="10">
        <v>0</v>
      </c>
      <c r="HJ94" s="10">
        <v>0</v>
      </c>
      <c r="HK94" s="10">
        <v>1</v>
      </c>
      <c r="HL94" s="10">
        <v>0</v>
      </c>
      <c r="HM94" s="10">
        <v>0</v>
      </c>
      <c r="HN94" s="81">
        <v>0</v>
      </c>
      <c r="HO94" s="81">
        <v>0</v>
      </c>
      <c r="HP94" s="81">
        <v>0</v>
      </c>
      <c r="HQ94" s="81">
        <v>0</v>
      </c>
      <c r="HR94" s="81">
        <v>0</v>
      </c>
      <c r="HS94" s="12">
        <v>0</v>
      </c>
      <c r="HT94" s="12">
        <v>0</v>
      </c>
      <c r="HU94" s="12">
        <v>0</v>
      </c>
      <c r="HV94" s="12">
        <v>0</v>
      </c>
      <c r="HW94" s="12">
        <v>0</v>
      </c>
      <c r="HX94" s="12">
        <v>0</v>
      </c>
      <c r="HY94" s="12">
        <v>0</v>
      </c>
      <c r="HZ94" s="12">
        <v>0</v>
      </c>
      <c r="IA94" s="12">
        <v>0</v>
      </c>
      <c r="IB94" s="12">
        <v>1</v>
      </c>
      <c r="IC94" s="12">
        <v>0</v>
      </c>
      <c r="ID94" s="12">
        <v>0</v>
      </c>
      <c r="IE94" s="12">
        <v>2</v>
      </c>
      <c r="IF94" s="12">
        <v>0</v>
      </c>
      <c r="IG94" s="12">
        <v>1</v>
      </c>
      <c r="IH94" s="12">
        <v>0</v>
      </c>
      <c r="II94" s="12">
        <v>1</v>
      </c>
      <c r="IJ94" s="12">
        <v>0</v>
      </c>
      <c r="IK94" s="12">
        <v>0</v>
      </c>
      <c r="IL94" s="12">
        <v>0</v>
      </c>
      <c r="IM94" s="12">
        <v>1</v>
      </c>
      <c r="IN94" s="12">
        <v>0</v>
      </c>
      <c r="IO94" s="12">
        <v>0</v>
      </c>
      <c r="IP94" s="12">
        <v>0</v>
      </c>
      <c r="IQ94" s="12">
        <v>2</v>
      </c>
      <c r="IR94" s="12">
        <v>0</v>
      </c>
      <c r="IS94" s="12">
        <v>0</v>
      </c>
      <c r="IT94" s="12">
        <v>0</v>
      </c>
      <c r="IU94" s="12">
        <v>1</v>
      </c>
      <c r="IV94" s="12">
        <v>0</v>
      </c>
      <c r="IW94" s="12">
        <v>0</v>
      </c>
      <c r="IX94" s="11">
        <v>0</v>
      </c>
      <c r="IY94" s="11">
        <v>4650</v>
      </c>
      <c r="IZ94" s="11">
        <v>4359</v>
      </c>
      <c r="JA94" s="85">
        <v>1</v>
      </c>
      <c r="JB94" s="85">
        <v>0</v>
      </c>
      <c r="JC94" s="85">
        <v>0</v>
      </c>
      <c r="JD94" s="12">
        <v>27</v>
      </c>
      <c r="JE94" s="12">
        <v>10</v>
      </c>
      <c r="JF94" s="12">
        <v>27</v>
      </c>
      <c r="JG94" s="12">
        <v>2</v>
      </c>
      <c r="JH94" s="12">
        <v>27</v>
      </c>
      <c r="JI94" s="12">
        <v>2</v>
      </c>
      <c r="JJ94" s="13" t="s">
        <v>619</v>
      </c>
      <c r="JK94" s="13" t="s">
        <v>619</v>
      </c>
      <c r="JL94" s="13" t="s">
        <v>296</v>
      </c>
      <c r="JM94" s="89"/>
      <c r="JN94" s="89"/>
      <c r="JO94" s="89" t="s">
        <v>296</v>
      </c>
      <c r="JP94" s="89"/>
      <c r="JQ94" s="89"/>
      <c r="JR94" s="89" t="s">
        <v>296</v>
      </c>
      <c r="JS94" s="89" t="s">
        <v>619</v>
      </c>
      <c r="JT94" s="89" t="s">
        <v>619</v>
      </c>
      <c r="JU94" s="89" t="s">
        <v>296</v>
      </c>
      <c r="JV94" s="89"/>
      <c r="JW94" s="89"/>
      <c r="JX94" s="89" t="s">
        <v>297</v>
      </c>
      <c r="JY94" s="12" t="s">
        <v>619</v>
      </c>
      <c r="JZ94" s="12" t="s">
        <v>34</v>
      </c>
      <c r="KA94" s="12" t="s">
        <v>34</v>
      </c>
      <c r="KB94" s="12" t="s">
        <v>34</v>
      </c>
      <c r="KC94" s="12" t="s">
        <v>34</v>
      </c>
      <c r="KD94" s="12" t="s">
        <v>34</v>
      </c>
      <c r="KE94" s="12" t="s">
        <v>34</v>
      </c>
      <c r="KF94" s="12"/>
      <c r="KG94" s="12" t="s">
        <v>34</v>
      </c>
      <c r="KH94" s="12" t="s">
        <v>34</v>
      </c>
      <c r="KI94" s="12" t="s">
        <v>34</v>
      </c>
      <c r="KJ94" s="12" t="s">
        <v>34</v>
      </c>
      <c r="KK94" s="12" t="s">
        <v>34</v>
      </c>
      <c r="KL94" s="12" t="s">
        <v>34</v>
      </c>
      <c r="KM94" s="12" t="s">
        <v>34</v>
      </c>
      <c r="KN94" s="12" t="s">
        <v>619</v>
      </c>
      <c r="KO94" s="12" t="s">
        <v>619</v>
      </c>
      <c r="KP94" s="12" t="s">
        <v>34</v>
      </c>
      <c r="KQ94" s="12" t="s">
        <v>619</v>
      </c>
      <c r="KR94" s="12" t="s">
        <v>619</v>
      </c>
      <c r="KS94" s="12" t="s">
        <v>619</v>
      </c>
      <c r="KT94" s="12" t="s">
        <v>34</v>
      </c>
      <c r="KU94" s="12" t="s">
        <v>619</v>
      </c>
      <c r="KV94" s="12" t="s">
        <v>34</v>
      </c>
      <c r="KW94" s="12" t="s">
        <v>34</v>
      </c>
      <c r="KX94" s="12" t="s">
        <v>34</v>
      </c>
      <c r="KY94" s="12" t="s">
        <v>34</v>
      </c>
      <c r="KZ94" s="12" t="s">
        <v>34</v>
      </c>
      <c r="LA94" s="12" t="s">
        <v>34</v>
      </c>
      <c r="LB94" s="12" t="s">
        <v>619</v>
      </c>
      <c r="LC94" s="12" t="s">
        <v>34</v>
      </c>
      <c r="LD94" s="12" t="s">
        <v>34</v>
      </c>
      <c r="LE94" s="12" t="s">
        <v>34</v>
      </c>
      <c r="LF94" s="12" t="s">
        <v>34</v>
      </c>
      <c r="LG94" s="12" t="s">
        <v>34</v>
      </c>
      <c r="LH94" s="12" t="s">
        <v>34</v>
      </c>
      <c r="LI94" s="12" t="s">
        <v>619</v>
      </c>
      <c r="LJ94" s="12" t="s">
        <v>619</v>
      </c>
      <c r="LK94" s="12" t="s">
        <v>34</v>
      </c>
      <c r="LL94" s="13" t="s">
        <v>34</v>
      </c>
      <c r="LM94" s="13" t="s">
        <v>34</v>
      </c>
      <c r="LN94" s="13" t="s">
        <v>34</v>
      </c>
      <c r="LO94" s="13" t="s">
        <v>34</v>
      </c>
      <c r="LP94" s="90" t="s">
        <v>34</v>
      </c>
      <c r="LQ94" s="13" t="s">
        <v>34</v>
      </c>
      <c r="LR94" s="13" t="s">
        <v>34</v>
      </c>
      <c r="LS94" s="13"/>
      <c r="LT94" s="13" t="s">
        <v>34</v>
      </c>
      <c r="LU94" s="13" t="s">
        <v>34</v>
      </c>
      <c r="LV94" s="13" t="s">
        <v>34</v>
      </c>
      <c r="LW94" s="13" t="s">
        <v>34</v>
      </c>
      <c r="LX94" s="13" t="s">
        <v>34</v>
      </c>
      <c r="LY94" s="13" t="s">
        <v>34</v>
      </c>
      <c r="LZ94" s="13" t="s">
        <v>34</v>
      </c>
      <c r="MA94" s="13" t="s">
        <v>34</v>
      </c>
      <c r="MB94" s="13" t="s">
        <v>34</v>
      </c>
      <c r="MC94" s="13" t="s">
        <v>34</v>
      </c>
      <c r="MD94" s="13" t="s">
        <v>34</v>
      </c>
      <c r="ME94" s="13" t="s">
        <v>34</v>
      </c>
      <c r="MF94" s="13" t="s">
        <v>34</v>
      </c>
      <c r="MG94" s="13" t="s">
        <v>34</v>
      </c>
      <c r="MH94" s="13" t="s">
        <v>34</v>
      </c>
      <c r="MI94" s="13" t="s">
        <v>34</v>
      </c>
      <c r="MJ94" s="13" t="s">
        <v>34</v>
      </c>
      <c r="MK94" s="13" t="s">
        <v>34</v>
      </c>
      <c r="ML94" s="13" t="s">
        <v>34</v>
      </c>
      <c r="MM94" s="13" t="s">
        <v>34</v>
      </c>
      <c r="MN94" s="13" t="s">
        <v>34</v>
      </c>
      <c r="MO94" s="13" t="s">
        <v>619</v>
      </c>
      <c r="MP94" s="13" t="s">
        <v>34</v>
      </c>
      <c r="MQ94" s="13" t="s">
        <v>34</v>
      </c>
      <c r="MR94" s="13" t="s">
        <v>34</v>
      </c>
      <c r="MS94" s="13" t="s">
        <v>34</v>
      </c>
      <c r="MT94" s="13" t="s">
        <v>34</v>
      </c>
      <c r="MU94" s="13" t="s">
        <v>34</v>
      </c>
      <c r="MV94" s="13" t="s">
        <v>34</v>
      </c>
      <c r="MW94" s="13" t="s">
        <v>34</v>
      </c>
      <c r="MX94" s="13" t="s">
        <v>34</v>
      </c>
      <c r="MY94" s="28" t="s">
        <v>296</v>
      </c>
      <c r="MZ94" s="28" t="s">
        <v>297</v>
      </c>
      <c r="NA94" s="28" t="s">
        <v>297</v>
      </c>
      <c r="NB94" s="28" t="s">
        <v>297</v>
      </c>
      <c r="NC94" s="28" t="s">
        <v>296</v>
      </c>
      <c r="ND94" s="28" t="s">
        <v>297</v>
      </c>
      <c r="NE94" s="28" t="s">
        <v>296</v>
      </c>
      <c r="NF94" s="28" t="s">
        <v>297</v>
      </c>
      <c r="NG94" s="28" t="s">
        <v>297</v>
      </c>
      <c r="NH94" s="28" t="s">
        <v>297</v>
      </c>
      <c r="NI94" s="177" t="s">
        <v>296</v>
      </c>
      <c r="NJ94" s="177" t="s">
        <v>297</v>
      </c>
      <c r="NK94" s="177" t="s">
        <v>297</v>
      </c>
      <c r="NL94" s="177" t="s">
        <v>297</v>
      </c>
      <c r="NM94" s="177" t="s">
        <v>297</v>
      </c>
      <c r="NN94" s="177" t="s">
        <v>296</v>
      </c>
      <c r="NO94" s="177" t="s">
        <v>296</v>
      </c>
      <c r="NP94" s="177" t="s">
        <v>297</v>
      </c>
      <c r="NQ94" s="177" t="s">
        <v>296</v>
      </c>
      <c r="NR94" s="12" t="s">
        <v>34</v>
      </c>
      <c r="NS94" s="13" t="s">
        <v>34</v>
      </c>
    </row>
    <row r="95" spans="1:383" x14ac:dyDescent="0.25">
      <c r="A95" s="8" t="s">
        <v>229</v>
      </c>
      <c r="B95" s="9" t="s">
        <v>230</v>
      </c>
      <c r="C95" s="9">
        <v>11</v>
      </c>
      <c r="D95" s="9" t="s">
        <v>196</v>
      </c>
      <c r="E95" s="10">
        <v>78</v>
      </c>
      <c r="F95" s="10">
        <v>78</v>
      </c>
      <c r="G95" s="10">
        <v>85</v>
      </c>
      <c r="H95" s="10">
        <v>104</v>
      </c>
      <c r="I95" s="10">
        <v>115</v>
      </c>
      <c r="J95" s="11">
        <v>331</v>
      </c>
      <c r="K95" s="11">
        <v>328</v>
      </c>
      <c r="L95" s="11">
        <v>297</v>
      </c>
      <c r="M95" s="11">
        <v>331</v>
      </c>
      <c r="N95" s="11">
        <v>324</v>
      </c>
      <c r="O95" s="13">
        <v>1692</v>
      </c>
      <c r="P95" s="13">
        <v>2555</v>
      </c>
      <c r="Q95" s="13">
        <v>3582</v>
      </c>
      <c r="R95" s="13">
        <v>6066</v>
      </c>
      <c r="S95" s="13">
        <v>6063</v>
      </c>
      <c r="T95" s="12">
        <v>603</v>
      </c>
      <c r="U95" s="12">
        <v>1813</v>
      </c>
      <c r="V95" s="12">
        <v>1265</v>
      </c>
      <c r="W95" s="12">
        <v>1392</v>
      </c>
      <c r="X95" s="12">
        <v>1352</v>
      </c>
      <c r="Y95" s="12">
        <v>3.8</v>
      </c>
      <c r="Z95" s="12">
        <v>3.8</v>
      </c>
      <c r="AA95" s="12">
        <v>3.9</v>
      </c>
      <c r="AB95" s="13">
        <v>3.8</v>
      </c>
      <c r="AC95" s="13">
        <v>3.8</v>
      </c>
      <c r="AD95" s="13">
        <v>3.9</v>
      </c>
      <c r="AE95" s="35" t="s">
        <v>258</v>
      </c>
      <c r="AF95" s="35" t="s">
        <v>258</v>
      </c>
      <c r="AG95" s="35" t="s">
        <v>258</v>
      </c>
      <c r="AH95" s="38">
        <v>1</v>
      </c>
      <c r="AI95" s="38">
        <v>1</v>
      </c>
      <c r="AJ95" s="38">
        <v>1</v>
      </c>
      <c r="AK95" s="45" t="s">
        <v>288</v>
      </c>
      <c r="AL95" s="45" t="s">
        <v>289</v>
      </c>
      <c r="AM95" s="45" t="s">
        <v>34</v>
      </c>
      <c r="AN95" s="45" t="s">
        <v>293</v>
      </c>
      <c r="AO95" s="45" t="s">
        <v>34</v>
      </c>
      <c r="AP95" s="45" t="s">
        <v>34</v>
      </c>
      <c r="AQ95" s="53" t="s">
        <v>297</v>
      </c>
      <c r="AR95" s="56">
        <v>56</v>
      </c>
      <c r="AS95" s="57">
        <v>44</v>
      </c>
      <c r="AT95" s="56">
        <v>158</v>
      </c>
      <c r="AU95" s="57">
        <v>6681</v>
      </c>
      <c r="AV95" s="57">
        <v>3871</v>
      </c>
      <c r="AW95" s="57">
        <v>7665</v>
      </c>
      <c r="AX95" s="57">
        <v>0</v>
      </c>
      <c r="AY95" s="57">
        <v>0</v>
      </c>
      <c r="AZ95" s="57">
        <v>0</v>
      </c>
      <c r="BA95" s="57">
        <v>750</v>
      </c>
      <c r="BB95" s="57">
        <v>1625</v>
      </c>
      <c r="BC95" s="57">
        <v>3965</v>
      </c>
      <c r="BD95" s="57">
        <v>0</v>
      </c>
      <c r="BE95" s="57">
        <v>0</v>
      </c>
      <c r="BF95" s="57">
        <v>135</v>
      </c>
      <c r="BG95" s="57">
        <v>951</v>
      </c>
      <c r="BH95" s="57">
        <v>1901</v>
      </c>
      <c r="BI95" s="57">
        <v>4746</v>
      </c>
      <c r="BJ95" s="57" t="s">
        <v>297</v>
      </c>
      <c r="BK95" s="57">
        <v>132</v>
      </c>
      <c r="BL95" s="57">
        <v>24</v>
      </c>
      <c r="BM95" s="57">
        <v>0</v>
      </c>
      <c r="BN95" s="57">
        <v>137</v>
      </c>
      <c r="BO95" s="57">
        <v>5294</v>
      </c>
      <c r="BP95" s="57">
        <v>1827</v>
      </c>
      <c r="BQ95" s="76">
        <v>827</v>
      </c>
      <c r="BR95" s="76">
        <v>830</v>
      </c>
      <c r="BS95">
        <v>849</v>
      </c>
      <c r="BT95">
        <v>849</v>
      </c>
      <c r="BU95">
        <v>852</v>
      </c>
      <c r="BV95">
        <v>189950</v>
      </c>
      <c r="BW95">
        <v>190826</v>
      </c>
      <c r="BX95">
        <v>191627</v>
      </c>
      <c r="BY95">
        <v>192261</v>
      </c>
      <c r="BZ95">
        <v>191191</v>
      </c>
      <c r="CA95">
        <v>71</v>
      </c>
      <c r="CB95">
        <v>80</v>
      </c>
      <c r="CC95">
        <v>86</v>
      </c>
      <c r="CD95">
        <v>104</v>
      </c>
      <c r="CE95">
        <v>104</v>
      </c>
      <c r="CF95">
        <v>2295</v>
      </c>
      <c r="CG95">
        <v>4368</v>
      </c>
      <c r="CH95">
        <v>4847</v>
      </c>
      <c r="CI95">
        <v>7458</v>
      </c>
      <c r="CJ95">
        <v>7415</v>
      </c>
      <c r="CK95" s="10">
        <v>48</v>
      </c>
      <c r="CL95" s="10">
        <v>48</v>
      </c>
      <c r="CM95" s="10">
        <v>49</v>
      </c>
      <c r="CN95" s="11">
        <v>15</v>
      </c>
      <c r="CO95" s="11">
        <v>15</v>
      </c>
      <c r="CP95" s="11">
        <v>15</v>
      </c>
      <c r="CQ95" s="13">
        <v>7</v>
      </c>
      <c r="CR95" s="13">
        <v>6</v>
      </c>
      <c r="CS95" s="13">
        <v>0</v>
      </c>
      <c r="CT95" s="10">
        <v>0</v>
      </c>
      <c r="CU95" s="10">
        <v>0</v>
      </c>
      <c r="CV95" s="10">
        <v>0</v>
      </c>
      <c r="CW95" s="10">
        <v>0</v>
      </c>
      <c r="CX95" s="10">
        <v>1</v>
      </c>
      <c r="CY95" s="10">
        <v>0</v>
      </c>
      <c r="CZ95" s="10">
        <v>0</v>
      </c>
      <c r="DA95" s="10">
        <v>0</v>
      </c>
      <c r="DB95" s="10">
        <v>0</v>
      </c>
      <c r="DC95" s="10">
        <v>1</v>
      </c>
      <c r="DD95" s="10">
        <v>0</v>
      </c>
      <c r="DE95" s="10">
        <v>0</v>
      </c>
      <c r="DF95" s="10">
        <v>0</v>
      </c>
      <c r="DG95" s="10">
        <v>0</v>
      </c>
      <c r="DH95" s="10">
        <v>0</v>
      </c>
      <c r="DI95" s="81">
        <v>0</v>
      </c>
      <c r="DJ95" s="81">
        <v>1</v>
      </c>
      <c r="DK95" s="81">
        <v>0</v>
      </c>
      <c r="DL95" s="81">
        <v>0</v>
      </c>
      <c r="DM95" s="81">
        <v>0</v>
      </c>
      <c r="DN95" s="12">
        <v>0</v>
      </c>
      <c r="DO95" s="12">
        <v>0</v>
      </c>
      <c r="DP95" s="12">
        <v>8</v>
      </c>
      <c r="DQ95" s="12">
        <v>0</v>
      </c>
      <c r="DR95" s="12">
        <v>1</v>
      </c>
      <c r="DS95" s="12">
        <v>0</v>
      </c>
      <c r="DT95" s="12">
        <v>0</v>
      </c>
      <c r="DU95" s="12">
        <v>0</v>
      </c>
      <c r="DV95" s="12">
        <v>5</v>
      </c>
      <c r="DW95" s="12">
        <v>10</v>
      </c>
      <c r="DX95" s="12">
        <v>0</v>
      </c>
      <c r="DY95" s="12">
        <v>7</v>
      </c>
      <c r="DZ95" s="12">
        <v>0</v>
      </c>
      <c r="EA95" s="12">
        <v>0</v>
      </c>
      <c r="EB95" s="12">
        <v>4</v>
      </c>
      <c r="EC95" s="12">
        <v>0</v>
      </c>
      <c r="ED95" s="12">
        <v>0</v>
      </c>
      <c r="EE95" s="12">
        <v>0</v>
      </c>
      <c r="EF95" s="12">
        <v>1</v>
      </c>
      <c r="EG95" s="12">
        <v>0</v>
      </c>
      <c r="EH95" s="12">
        <v>0</v>
      </c>
      <c r="EI95" s="12">
        <v>0</v>
      </c>
      <c r="EJ95" s="12">
        <v>0</v>
      </c>
      <c r="EK95" s="12">
        <v>0</v>
      </c>
      <c r="EL95" s="12">
        <v>6</v>
      </c>
      <c r="EM95" s="12">
        <v>1</v>
      </c>
      <c r="EN95" s="12">
        <v>0</v>
      </c>
      <c r="EO95" s="12">
        <v>0</v>
      </c>
      <c r="EP95" s="12">
        <v>0</v>
      </c>
      <c r="EQ95" s="12">
        <v>0</v>
      </c>
      <c r="ER95" s="12">
        <v>0</v>
      </c>
      <c r="ES95" s="13">
        <v>1</v>
      </c>
      <c r="ET95" s="13">
        <v>6</v>
      </c>
      <c r="EU95" s="13">
        <v>0</v>
      </c>
      <c r="EV95" s="10">
        <v>0</v>
      </c>
      <c r="EW95" s="10">
        <v>0</v>
      </c>
      <c r="EX95" s="10">
        <v>7</v>
      </c>
      <c r="EY95" s="10">
        <v>2</v>
      </c>
      <c r="EZ95" s="10">
        <v>9</v>
      </c>
      <c r="FA95" s="10">
        <v>0</v>
      </c>
      <c r="FB95" s="10">
        <v>0</v>
      </c>
      <c r="FC95" s="10">
        <v>0</v>
      </c>
      <c r="FD95" s="10">
        <v>0</v>
      </c>
      <c r="FE95" s="10">
        <v>0</v>
      </c>
      <c r="FF95" s="10">
        <v>0</v>
      </c>
      <c r="FG95" s="10">
        <v>0</v>
      </c>
      <c r="FH95" s="10">
        <v>0</v>
      </c>
      <c r="FI95" s="10">
        <v>0</v>
      </c>
      <c r="FJ95" s="10">
        <v>0</v>
      </c>
      <c r="FK95" s="81">
        <v>0</v>
      </c>
      <c r="FL95" s="81">
        <v>0</v>
      </c>
      <c r="FM95" s="81">
        <v>0</v>
      </c>
      <c r="FN95" s="81">
        <v>0</v>
      </c>
      <c r="FO95" s="81">
        <v>0</v>
      </c>
      <c r="FP95" s="12">
        <v>0</v>
      </c>
      <c r="FQ95" s="12">
        <v>0</v>
      </c>
      <c r="FR95" s="12">
        <v>3</v>
      </c>
      <c r="FS95" s="12">
        <v>0</v>
      </c>
      <c r="FT95" s="12">
        <v>0</v>
      </c>
      <c r="FU95" s="12">
        <v>0</v>
      </c>
      <c r="FV95" s="12">
        <v>0</v>
      </c>
      <c r="FW95" s="12">
        <v>0</v>
      </c>
      <c r="FX95" s="12">
        <v>4</v>
      </c>
      <c r="FY95" s="12">
        <v>0</v>
      </c>
      <c r="FZ95" s="12">
        <v>0</v>
      </c>
      <c r="GA95" s="12">
        <v>6</v>
      </c>
      <c r="GB95" s="12">
        <v>0</v>
      </c>
      <c r="GC95" s="12">
        <v>0</v>
      </c>
      <c r="GD95" s="12">
        <v>4</v>
      </c>
      <c r="GE95" s="12">
        <v>0</v>
      </c>
      <c r="GF95" s="12">
        <v>4</v>
      </c>
      <c r="GG95" s="12">
        <v>0</v>
      </c>
      <c r="GH95" s="12">
        <v>0</v>
      </c>
      <c r="GI95" s="12">
        <v>0</v>
      </c>
      <c r="GJ95" s="12">
        <v>0</v>
      </c>
      <c r="GK95" s="12">
        <v>0</v>
      </c>
      <c r="GL95" s="12">
        <v>0</v>
      </c>
      <c r="GM95" s="12">
        <v>0</v>
      </c>
      <c r="GN95" s="12">
        <v>0</v>
      </c>
      <c r="GO95" s="12">
        <v>4</v>
      </c>
      <c r="GP95" s="12">
        <v>0</v>
      </c>
      <c r="GQ95" s="12">
        <v>0</v>
      </c>
      <c r="GR95" s="12">
        <v>0</v>
      </c>
      <c r="GS95" s="12">
        <v>0</v>
      </c>
      <c r="GT95" s="12">
        <v>1</v>
      </c>
      <c r="GU95" s="13">
        <v>44</v>
      </c>
      <c r="GV95" s="13">
        <v>8</v>
      </c>
      <c r="GW95" s="13">
        <v>17</v>
      </c>
      <c r="GX95" s="13">
        <v>0</v>
      </c>
      <c r="GY95" s="10">
        <v>0</v>
      </c>
      <c r="GZ95" s="10">
        <v>0</v>
      </c>
      <c r="HA95" s="10">
        <v>0</v>
      </c>
      <c r="HB95" s="10">
        <v>2</v>
      </c>
      <c r="HC95" s="10">
        <v>14</v>
      </c>
      <c r="HD95" s="10">
        <v>0</v>
      </c>
      <c r="HE95" s="10">
        <v>0</v>
      </c>
      <c r="HF95" s="10">
        <v>0</v>
      </c>
      <c r="HG95" s="10">
        <v>0</v>
      </c>
      <c r="HH95" s="10">
        <v>11</v>
      </c>
      <c r="HI95" s="10">
        <v>1</v>
      </c>
      <c r="HJ95" s="10">
        <v>0</v>
      </c>
      <c r="HK95" s="10">
        <v>3</v>
      </c>
      <c r="HL95" s="10">
        <v>0</v>
      </c>
      <c r="HM95" s="10">
        <v>1</v>
      </c>
      <c r="HN95" s="81">
        <v>0</v>
      </c>
      <c r="HO95" s="81">
        <v>3</v>
      </c>
      <c r="HP95" s="81">
        <v>0</v>
      </c>
      <c r="HQ95" s="81">
        <v>0</v>
      </c>
      <c r="HR95" s="81">
        <v>1</v>
      </c>
      <c r="HS95" s="12">
        <v>1</v>
      </c>
      <c r="HT95" s="12">
        <v>0</v>
      </c>
      <c r="HU95" s="12">
        <v>3</v>
      </c>
      <c r="HV95" s="12">
        <v>0</v>
      </c>
      <c r="HW95" s="12">
        <v>5</v>
      </c>
      <c r="HX95" s="12">
        <v>1</v>
      </c>
      <c r="HY95" s="12">
        <v>1</v>
      </c>
      <c r="HZ95" s="12">
        <v>1</v>
      </c>
      <c r="IA95" s="12">
        <v>2</v>
      </c>
      <c r="IB95" s="12">
        <v>1</v>
      </c>
      <c r="IC95" s="12">
        <v>0</v>
      </c>
      <c r="ID95" s="12">
        <v>9</v>
      </c>
      <c r="IE95" s="12">
        <v>9</v>
      </c>
      <c r="IF95" s="12">
        <v>0</v>
      </c>
      <c r="IG95" s="12">
        <v>25</v>
      </c>
      <c r="IH95" s="12">
        <v>0</v>
      </c>
      <c r="II95" s="12">
        <v>0</v>
      </c>
      <c r="IJ95" s="12">
        <v>0</v>
      </c>
      <c r="IK95" s="12">
        <v>7</v>
      </c>
      <c r="IL95" s="12">
        <v>0</v>
      </c>
      <c r="IM95" s="12">
        <v>0</v>
      </c>
      <c r="IN95" s="12">
        <v>0</v>
      </c>
      <c r="IO95" s="12">
        <v>0</v>
      </c>
      <c r="IP95" s="12">
        <v>0</v>
      </c>
      <c r="IQ95" s="12">
        <v>0</v>
      </c>
      <c r="IR95" s="12">
        <v>13</v>
      </c>
      <c r="IS95" s="12">
        <v>4</v>
      </c>
      <c r="IT95" s="12">
        <v>0</v>
      </c>
      <c r="IU95" s="12">
        <v>1</v>
      </c>
      <c r="IV95" s="12">
        <v>2</v>
      </c>
      <c r="IW95" s="12">
        <v>0</v>
      </c>
      <c r="IX95" s="11">
        <v>12000</v>
      </c>
      <c r="IY95" s="11">
        <v>20000</v>
      </c>
      <c r="IZ95" s="11">
        <v>20000</v>
      </c>
      <c r="JA95" s="85">
        <v>1</v>
      </c>
      <c r="JB95" s="85">
        <v>0</v>
      </c>
      <c r="JC95" s="85">
        <v>0</v>
      </c>
      <c r="JD95" s="12">
        <v>32</v>
      </c>
      <c r="JE95" s="12">
        <v>6</v>
      </c>
      <c r="JF95" s="12">
        <v>32</v>
      </c>
      <c r="JG95" s="12">
        <v>25</v>
      </c>
      <c r="JH95" s="12">
        <v>32</v>
      </c>
      <c r="JI95" s="12">
        <v>11</v>
      </c>
      <c r="JJ95" s="13" t="s">
        <v>619</v>
      </c>
      <c r="JK95" s="13" t="s">
        <v>619</v>
      </c>
      <c r="JL95" s="13" t="s">
        <v>297</v>
      </c>
      <c r="JM95" s="89"/>
      <c r="JN95" s="89"/>
      <c r="JO95" s="89" t="s">
        <v>296</v>
      </c>
      <c r="JP95" s="89"/>
      <c r="JQ95" s="89"/>
      <c r="JR95" s="89" t="s">
        <v>296</v>
      </c>
      <c r="JS95" s="89" t="s">
        <v>619</v>
      </c>
      <c r="JT95" s="89" t="s">
        <v>619</v>
      </c>
      <c r="JU95" s="89" t="s">
        <v>296</v>
      </c>
      <c r="JV95" s="89"/>
      <c r="JW95" s="89"/>
      <c r="JX95" s="89" t="s">
        <v>297</v>
      </c>
      <c r="JY95" s="12" t="s">
        <v>34</v>
      </c>
      <c r="JZ95" s="12" t="s">
        <v>34</v>
      </c>
      <c r="KA95" s="12" t="s">
        <v>34</v>
      </c>
      <c r="KB95" s="12" t="s">
        <v>34</v>
      </c>
      <c r="KC95" s="12" t="s">
        <v>34</v>
      </c>
      <c r="KD95" s="12" t="s">
        <v>619</v>
      </c>
      <c r="KE95" s="12" t="s">
        <v>34</v>
      </c>
      <c r="KF95" s="12"/>
      <c r="KG95" s="12" t="s">
        <v>34</v>
      </c>
      <c r="KH95" s="12" t="s">
        <v>34</v>
      </c>
      <c r="KI95" s="12" t="s">
        <v>619</v>
      </c>
      <c r="KJ95" s="12" t="s">
        <v>34</v>
      </c>
      <c r="KK95" s="12" t="s">
        <v>34</v>
      </c>
      <c r="KL95" s="12" t="s">
        <v>34</v>
      </c>
      <c r="KM95" s="12" t="s">
        <v>34</v>
      </c>
      <c r="KN95" s="12" t="s">
        <v>619</v>
      </c>
      <c r="KO95" s="12" t="s">
        <v>619</v>
      </c>
      <c r="KP95" s="12" t="s">
        <v>619</v>
      </c>
      <c r="KQ95" s="12" t="s">
        <v>34</v>
      </c>
      <c r="KR95" s="12" t="s">
        <v>619</v>
      </c>
      <c r="KS95" s="12" t="s">
        <v>34</v>
      </c>
      <c r="KT95" s="12" t="s">
        <v>34</v>
      </c>
      <c r="KU95" s="12" t="s">
        <v>34</v>
      </c>
      <c r="KV95" s="12" t="s">
        <v>34</v>
      </c>
      <c r="KW95" s="12" t="s">
        <v>34</v>
      </c>
      <c r="KX95" s="12" t="s">
        <v>34</v>
      </c>
      <c r="KY95" s="12" t="s">
        <v>619</v>
      </c>
      <c r="KZ95" s="12" t="s">
        <v>34</v>
      </c>
      <c r="LA95" s="12" t="s">
        <v>619</v>
      </c>
      <c r="LB95" s="12" t="s">
        <v>34</v>
      </c>
      <c r="LC95" s="12" t="s">
        <v>619</v>
      </c>
      <c r="LD95" s="12" t="s">
        <v>619</v>
      </c>
      <c r="LE95" s="12" t="s">
        <v>34</v>
      </c>
      <c r="LF95" s="12" t="s">
        <v>34</v>
      </c>
      <c r="LG95" s="12" t="s">
        <v>619</v>
      </c>
      <c r="LH95" s="12" t="s">
        <v>34</v>
      </c>
      <c r="LI95" s="12" t="s">
        <v>619</v>
      </c>
      <c r="LJ95" s="12" t="s">
        <v>619</v>
      </c>
      <c r="LK95" s="12" t="s">
        <v>619</v>
      </c>
      <c r="LL95" s="13" t="s">
        <v>34</v>
      </c>
      <c r="LM95" s="13" t="s">
        <v>34</v>
      </c>
      <c r="LN95" s="13" t="s">
        <v>34</v>
      </c>
      <c r="LO95" s="13" t="s">
        <v>34</v>
      </c>
      <c r="LP95" s="90" t="s">
        <v>619</v>
      </c>
      <c r="LQ95" s="13" t="s">
        <v>34</v>
      </c>
      <c r="LR95" s="13" t="s">
        <v>34</v>
      </c>
      <c r="LS95" s="13"/>
      <c r="LT95" s="13" t="s">
        <v>34</v>
      </c>
      <c r="LU95" s="13" t="s">
        <v>619</v>
      </c>
      <c r="LV95" s="13" t="s">
        <v>34</v>
      </c>
      <c r="LW95" s="13" t="s">
        <v>34</v>
      </c>
      <c r="LX95" s="13" t="s">
        <v>34</v>
      </c>
      <c r="LY95" s="13" t="s">
        <v>34</v>
      </c>
      <c r="LZ95" s="13" t="s">
        <v>34</v>
      </c>
      <c r="MA95" s="13" t="s">
        <v>34</v>
      </c>
      <c r="MB95" s="13" t="s">
        <v>34</v>
      </c>
      <c r="MC95" s="13" t="s">
        <v>34</v>
      </c>
      <c r="MD95" s="13" t="s">
        <v>619</v>
      </c>
      <c r="ME95" s="13" t="s">
        <v>34</v>
      </c>
      <c r="MF95" s="13" t="s">
        <v>34</v>
      </c>
      <c r="MG95" s="13" t="s">
        <v>34</v>
      </c>
      <c r="MH95" s="13" t="s">
        <v>34</v>
      </c>
      <c r="MI95" s="13" t="s">
        <v>34</v>
      </c>
      <c r="MJ95" s="13" t="s">
        <v>34</v>
      </c>
      <c r="MK95" s="13" t="s">
        <v>34</v>
      </c>
      <c r="ML95" s="13" t="s">
        <v>34</v>
      </c>
      <c r="MM95" s="13" t="s">
        <v>619</v>
      </c>
      <c r="MN95" s="13" t="s">
        <v>34</v>
      </c>
      <c r="MO95" s="13" t="s">
        <v>619</v>
      </c>
      <c r="MP95" s="13" t="s">
        <v>34</v>
      </c>
      <c r="MQ95" s="13" t="s">
        <v>34</v>
      </c>
      <c r="MR95" s="13" t="s">
        <v>34</v>
      </c>
      <c r="MS95" s="13" t="s">
        <v>34</v>
      </c>
      <c r="MT95" s="13" t="s">
        <v>34</v>
      </c>
      <c r="MU95" s="13" t="s">
        <v>34</v>
      </c>
      <c r="MV95" s="13" t="s">
        <v>34</v>
      </c>
      <c r="MW95" s="13" t="s">
        <v>34</v>
      </c>
      <c r="MX95" s="13" t="s">
        <v>34</v>
      </c>
      <c r="MY95" s="28" t="s">
        <v>296</v>
      </c>
      <c r="MZ95" s="28" t="s">
        <v>296</v>
      </c>
      <c r="NA95" s="28" t="s">
        <v>297</v>
      </c>
      <c r="NB95" s="28" t="s">
        <v>296</v>
      </c>
      <c r="NC95" s="28" t="s">
        <v>296</v>
      </c>
      <c r="ND95" s="28" t="s">
        <v>296</v>
      </c>
      <c r="NE95" s="28" t="s">
        <v>297</v>
      </c>
      <c r="NF95" s="28" t="s">
        <v>297</v>
      </c>
      <c r="NG95" s="28" t="s">
        <v>297</v>
      </c>
      <c r="NH95" s="28" t="s">
        <v>297</v>
      </c>
      <c r="NI95" s="177" t="s">
        <v>296</v>
      </c>
      <c r="NJ95" s="177" t="s">
        <v>297</v>
      </c>
      <c r="NK95" s="177" t="s">
        <v>296</v>
      </c>
      <c r="NL95" s="177" t="s">
        <v>296</v>
      </c>
      <c r="NM95" s="177" t="s">
        <v>296</v>
      </c>
      <c r="NN95" s="177" t="s">
        <v>296</v>
      </c>
      <c r="NO95" s="177" t="s">
        <v>296</v>
      </c>
      <c r="NP95" s="177" t="s">
        <v>296</v>
      </c>
      <c r="NQ95" s="177" t="s">
        <v>296</v>
      </c>
      <c r="NR95" s="12" t="s">
        <v>34</v>
      </c>
      <c r="NS95" s="13" t="s">
        <v>34</v>
      </c>
    </row>
    <row r="96" spans="1:383" x14ac:dyDescent="0.25">
      <c r="A96" s="8" t="s">
        <v>231</v>
      </c>
      <c r="B96" s="9" t="s">
        <v>232</v>
      </c>
      <c r="C96" s="9">
        <v>11</v>
      </c>
      <c r="D96" s="9" t="s">
        <v>196</v>
      </c>
      <c r="E96" s="10">
        <v>34</v>
      </c>
      <c r="F96" s="10">
        <v>33</v>
      </c>
      <c r="G96" s="10">
        <v>39</v>
      </c>
      <c r="H96" s="10">
        <v>45</v>
      </c>
      <c r="I96" s="10">
        <v>45</v>
      </c>
      <c r="J96" s="11">
        <v>214</v>
      </c>
      <c r="K96" s="11">
        <v>230</v>
      </c>
      <c r="L96" s="11">
        <v>261</v>
      </c>
      <c r="M96" s="11">
        <v>313</v>
      </c>
      <c r="N96" s="11">
        <v>250</v>
      </c>
      <c r="O96" s="13">
        <v>6400</v>
      </c>
      <c r="P96" s="13">
        <v>7288</v>
      </c>
      <c r="Q96" s="13">
        <v>8002</v>
      </c>
      <c r="R96" s="13">
        <v>8163</v>
      </c>
      <c r="S96" s="13">
        <v>7141</v>
      </c>
      <c r="T96" s="12">
        <v>1502</v>
      </c>
      <c r="U96" s="12">
        <v>1428</v>
      </c>
      <c r="V96" s="12">
        <v>1093</v>
      </c>
      <c r="W96" s="12">
        <v>1711</v>
      </c>
      <c r="X96" s="12">
        <v>1368</v>
      </c>
      <c r="Y96" s="12">
        <v>5.05</v>
      </c>
      <c r="Z96" s="12">
        <v>5.07</v>
      </c>
      <c r="AA96" s="12">
        <v>5.07</v>
      </c>
      <c r="AB96" s="13">
        <v>4.7699999999999996</v>
      </c>
      <c r="AC96" s="13">
        <v>4.79</v>
      </c>
      <c r="AD96" s="13">
        <v>4.79</v>
      </c>
      <c r="AE96" s="35" t="s">
        <v>258</v>
      </c>
      <c r="AF96" s="35" t="s">
        <v>270</v>
      </c>
      <c r="AG96" s="35" t="s">
        <v>258</v>
      </c>
      <c r="AH96" s="38">
        <v>0.75</v>
      </c>
      <c r="AI96" s="38">
        <v>0.75</v>
      </c>
      <c r="AJ96" s="38">
        <v>0.75</v>
      </c>
      <c r="AK96" s="45" t="s">
        <v>288</v>
      </c>
      <c r="AL96" s="45" t="s">
        <v>34</v>
      </c>
      <c r="AM96" s="45" t="s">
        <v>34</v>
      </c>
      <c r="AN96" s="45" t="s">
        <v>34</v>
      </c>
      <c r="AO96" s="45" t="s">
        <v>34</v>
      </c>
      <c r="AP96" s="45" t="s">
        <v>292</v>
      </c>
      <c r="AQ96" s="53" t="s">
        <v>297</v>
      </c>
      <c r="AR96" s="56">
        <v>175</v>
      </c>
      <c r="AS96" s="57">
        <v>71</v>
      </c>
      <c r="AT96" s="56">
        <v>118</v>
      </c>
      <c r="AU96" s="57">
        <v>26382</v>
      </c>
      <c r="AV96" s="57">
        <v>13253</v>
      </c>
      <c r="AW96" s="57">
        <v>14495</v>
      </c>
      <c r="AX96" s="57">
        <v>4</v>
      </c>
      <c r="AY96" s="57">
        <v>0</v>
      </c>
      <c r="AZ96" s="57">
        <v>2</v>
      </c>
      <c r="BA96" s="57">
        <v>3375</v>
      </c>
      <c r="BB96" s="57">
        <v>14634</v>
      </c>
      <c r="BC96" s="57">
        <v>14044</v>
      </c>
      <c r="BD96" s="57">
        <v>1043</v>
      </c>
      <c r="BE96" s="57">
        <v>7737</v>
      </c>
      <c r="BF96" s="57">
        <v>13258</v>
      </c>
      <c r="BG96" s="57">
        <v>1679</v>
      </c>
      <c r="BH96" s="57">
        <v>6448</v>
      </c>
      <c r="BI96" s="57">
        <v>5790</v>
      </c>
      <c r="BJ96" s="57" t="s">
        <v>297</v>
      </c>
      <c r="BK96" s="57">
        <v>26</v>
      </c>
      <c r="BL96" s="57">
        <v>1</v>
      </c>
      <c r="BM96" s="57">
        <v>0</v>
      </c>
      <c r="BN96" s="57">
        <v>0</v>
      </c>
      <c r="BO96" s="57">
        <v>1767</v>
      </c>
      <c r="BP96" s="57">
        <v>31</v>
      </c>
      <c r="BQ96" s="76">
        <v>606</v>
      </c>
      <c r="BR96" s="76">
        <v>607</v>
      </c>
      <c r="BS96">
        <v>613</v>
      </c>
      <c r="BT96">
        <v>613</v>
      </c>
      <c r="BU96">
        <v>615</v>
      </c>
      <c r="BV96">
        <v>137963</v>
      </c>
      <c r="BW96">
        <v>138303</v>
      </c>
      <c r="BX96">
        <v>138543</v>
      </c>
      <c r="BY96">
        <v>138365</v>
      </c>
      <c r="BZ96">
        <v>138068</v>
      </c>
      <c r="CA96">
        <v>38</v>
      </c>
      <c r="CB96">
        <v>19</v>
      </c>
      <c r="CC96">
        <v>42</v>
      </c>
      <c r="CD96">
        <v>49</v>
      </c>
      <c r="CE96">
        <v>38</v>
      </c>
      <c r="CF96">
        <v>7902</v>
      </c>
      <c r="CG96">
        <v>8716</v>
      </c>
      <c r="CH96">
        <v>9095</v>
      </c>
      <c r="CI96">
        <v>9874</v>
      </c>
      <c r="CJ96">
        <v>8509</v>
      </c>
      <c r="CK96" s="10">
        <v>52.45</v>
      </c>
      <c r="CL96" s="10">
        <v>52.55</v>
      </c>
      <c r="CM96" s="10">
        <v>52.55</v>
      </c>
      <c r="CN96" s="11">
        <v>16.63</v>
      </c>
      <c r="CO96" s="11">
        <v>16.63</v>
      </c>
      <c r="CP96" s="11">
        <v>16.63</v>
      </c>
      <c r="CQ96" s="13">
        <v>14</v>
      </c>
      <c r="CR96" s="13">
        <v>25</v>
      </c>
      <c r="CS96" s="13">
        <v>0</v>
      </c>
      <c r="CT96" s="10">
        <v>0</v>
      </c>
      <c r="CU96" s="10">
        <v>0</v>
      </c>
      <c r="CV96" s="10">
        <v>7</v>
      </c>
      <c r="CW96" s="10">
        <v>32</v>
      </c>
      <c r="CX96" s="10">
        <v>1</v>
      </c>
      <c r="CY96" s="10">
        <v>0</v>
      </c>
      <c r="CZ96" s="10">
        <v>0</v>
      </c>
      <c r="DA96" s="10">
        <v>0</v>
      </c>
      <c r="DB96" s="10">
        <v>19</v>
      </c>
      <c r="DC96" s="10">
        <v>1</v>
      </c>
      <c r="DD96" s="10">
        <v>0</v>
      </c>
      <c r="DE96" s="10">
        <v>0</v>
      </c>
      <c r="DF96" s="10">
        <v>0</v>
      </c>
      <c r="DG96" s="10">
        <v>0</v>
      </c>
      <c r="DH96" s="10">
        <v>2</v>
      </c>
      <c r="DI96" s="81">
        <v>0</v>
      </c>
      <c r="DJ96" s="81">
        <v>1</v>
      </c>
      <c r="DK96" s="81">
        <v>5</v>
      </c>
      <c r="DL96" s="81">
        <v>0</v>
      </c>
      <c r="DM96" s="81">
        <v>10</v>
      </c>
      <c r="DN96" s="12">
        <v>1</v>
      </c>
      <c r="DO96" s="12">
        <v>0</v>
      </c>
      <c r="DP96" s="12">
        <v>0</v>
      </c>
      <c r="DQ96" s="12">
        <v>1</v>
      </c>
      <c r="DR96" s="12">
        <v>1</v>
      </c>
      <c r="DS96" s="12">
        <v>0</v>
      </c>
      <c r="DT96" s="12">
        <v>0</v>
      </c>
      <c r="DU96" s="12">
        <v>2</v>
      </c>
      <c r="DV96" s="12">
        <v>2</v>
      </c>
      <c r="DW96" s="12">
        <v>2</v>
      </c>
      <c r="DX96" s="12">
        <v>3</v>
      </c>
      <c r="DY96" s="12">
        <v>3</v>
      </c>
      <c r="DZ96" s="12">
        <v>0</v>
      </c>
      <c r="EA96" s="12">
        <v>0</v>
      </c>
      <c r="EB96" s="12">
        <v>2</v>
      </c>
      <c r="EC96" s="12">
        <v>0</v>
      </c>
      <c r="ED96" s="12">
        <v>0</v>
      </c>
      <c r="EE96" s="12">
        <v>2</v>
      </c>
      <c r="EF96" s="12">
        <v>16</v>
      </c>
      <c r="EG96" s="12">
        <v>0</v>
      </c>
      <c r="EH96" s="12">
        <v>2</v>
      </c>
      <c r="EI96" s="12">
        <v>0</v>
      </c>
      <c r="EJ96" s="12">
        <v>0</v>
      </c>
      <c r="EK96" s="12">
        <v>0</v>
      </c>
      <c r="EL96" s="12">
        <v>5</v>
      </c>
      <c r="EM96" s="12">
        <v>9</v>
      </c>
      <c r="EN96" s="12">
        <v>0</v>
      </c>
      <c r="EO96" s="12">
        <v>3</v>
      </c>
      <c r="EP96" s="12">
        <v>14</v>
      </c>
      <c r="EQ96" s="12">
        <v>0</v>
      </c>
      <c r="ER96" s="12">
        <v>0</v>
      </c>
      <c r="ES96" s="13">
        <v>1</v>
      </c>
      <c r="ET96" s="13">
        <v>25</v>
      </c>
      <c r="EU96" s="13">
        <v>0</v>
      </c>
      <c r="EV96" s="10">
        <v>0</v>
      </c>
      <c r="EW96" s="10">
        <v>0</v>
      </c>
      <c r="EX96" s="10">
        <v>4</v>
      </c>
      <c r="EY96" s="10">
        <v>18</v>
      </c>
      <c r="EZ96" s="10">
        <v>0</v>
      </c>
      <c r="FA96" s="10">
        <v>0</v>
      </c>
      <c r="FB96" s="10">
        <v>0</v>
      </c>
      <c r="FC96" s="10">
        <v>0</v>
      </c>
      <c r="FD96" s="10">
        <v>4</v>
      </c>
      <c r="FE96" s="10">
        <v>0</v>
      </c>
      <c r="FF96" s="10">
        <v>0</v>
      </c>
      <c r="FG96" s="10">
        <v>0</v>
      </c>
      <c r="FH96" s="10">
        <v>0</v>
      </c>
      <c r="FI96" s="10">
        <v>0</v>
      </c>
      <c r="FJ96" s="10">
        <v>0</v>
      </c>
      <c r="FK96" s="81">
        <v>0</v>
      </c>
      <c r="FL96" s="81">
        <v>5</v>
      </c>
      <c r="FM96" s="81">
        <v>3</v>
      </c>
      <c r="FN96" s="81">
        <v>0</v>
      </c>
      <c r="FO96" s="81">
        <v>4</v>
      </c>
      <c r="FP96" s="12">
        <v>1</v>
      </c>
      <c r="FQ96" s="12">
        <v>0</v>
      </c>
      <c r="FR96" s="12">
        <v>0</v>
      </c>
      <c r="FS96" s="12">
        <v>0</v>
      </c>
      <c r="FT96" s="12">
        <v>1</v>
      </c>
      <c r="FU96" s="12">
        <v>0</v>
      </c>
      <c r="FV96" s="12">
        <v>0</v>
      </c>
      <c r="FW96" s="12">
        <v>0</v>
      </c>
      <c r="FX96" s="12">
        <v>0</v>
      </c>
      <c r="FY96" s="12">
        <v>2</v>
      </c>
      <c r="FZ96" s="12">
        <v>1</v>
      </c>
      <c r="GA96" s="12">
        <v>1</v>
      </c>
      <c r="GB96" s="12">
        <v>0</v>
      </c>
      <c r="GC96" s="12">
        <v>0</v>
      </c>
      <c r="GD96" s="12">
        <v>0</v>
      </c>
      <c r="GE96" s="12">
        <v>0</v>
      </c>
      <c r="GF96" s="12">
        <v>0</v>
      </c>
      <c r="GG96" s="12">
        <v>2</v>
      </c>
      <c r="GH96" s="12">
        <v>3</v>
      </c>
      <c r="GI96" s="12">
        <v>0</v>
      </c>
      <c r="GJ96" s="12">
        <v>1</v>
      </c>
      <c r="GK96" s="12">
        <v>0</v>
      </c>
      <c r="GL96" s="12">
        <v>0</v>
      </c>
      <c r="GM96" s="12">
        <v>0</v>
      </c>
      <c r="GN96" s="12">
        <v>1</v>
      </c>
      <c r="GO96" s="12">
        <v>2</v>
      </c>
      <c r="GP96" s="12">
        <v>0</v>
      </c>
      <c r="GQ96" s="12">
        <v>1</v>
      </c>
      <c r="GR96" s="12">
        <v>11</v>
      </c>
      <c r="GS96" s="12">
        <v>0</v>
      </c>
      <c r="GT96" s="12">
        <v>0</v>
      </c>
      <c r="GU96" s="13">
        <v>71</v>
      </c>
      <c r="GV96" s="13">
        <v>0</v>
      </c>
      <c r="GW96" s="13">
        <v>35</v>
      </c>
      <c r="GX96" s="13">
        <v>0</v>
      </c>
      <c r="GY96" s="10">
        <v>0</v>
      </c>
      <c r="GZ96" s="10">
        <v>0</v>
      </c>
      <c r="HA96" s="10">
        <v>30</v>
      </c>
      <c r="HB96" s="10">
        <v>36</v>
      </c>
      <c r="HC96" s="10">
        <v>6</v>
      </c>
      <c r="HD96" s="10">
        <v>0</v>
      </c>
      <c r="HE96" s="10">
        <v>0</v>
      </c>
      <c r="HF96" s="10">
        <v>0</v>
      </c>
      <c r="HG96" s="10">
        <v>1</v>
      </c>
      <c r="HH96" s="10">
        <v>1</v>
      </c>
      <c r="HI96" s="10">
        <v>0</v>
      </c>
      <c r="HJ96" s="10">
        <v>0</v>
      </c>
      <c r="HK96" s="10">
        <v>0</v>
      </c>
      <c r="HL96" s="10">
        <v>0</v>
      </c>
      <c r="HM96" s="10">
        <v>0</v>
      </c>
      <c r="HN96" s="81">
        <v>0</v>
      </c>
      <c r="HO96" s="81">
        <v>0</v>
      </c>
      <c r="HP96" s="81">
        <v>1</v>
      </c>
      <c r="HQ96" s="81">
        <v>0</v>
      </c>
      <c r="HR96" s="81">
        <v>0</v>
      </c>
      <c r="HS96" s="12">
        <v>0</v>
      </c>
      <c r="HT96" s="12">
        <v>0</v>
      </c>
      <c r="HU96" s="12">
        <v>0</v>
      </c>
      <c r="HV96" s="12">
        <v>0</v>
      </c>
      <c r="HW96" s="12">
        <v>0</v>
      </c>
      <c r="HX96" s="12">
        <v>0</v>
      </c>
      <c r="HY96" s="12">
        <v>0</v>
      </c>
      <c r="HZ96" s="12">
        <v>0</v>
      </c>
      <c r="IA96" s="12">
        <v>0</v>
      </c>
      <c r="IB96" s="12">
        <v>0</v>
      </c>
      <c r="IC96" s="12">
        <v>0</v>
      </c>
      <c r="ID96" s="12">
        <v>0</v>
      </c>
      <c r="IE96" s="12">
        <v>0</v>
      </c>
      <c r="IF96" s="12">
        <v>0</v>
      </c>
      <c r="IG96" s="12">
        <v>1</v>
      </c>
      <c r="IH96" s="12">
        <v>0</v>
      </c>
      <c r="II96" s="12">
        <v>0</v>
      </c>
      <c r="IJ96" s="12">
        <v>0</v>
      </c>
      <c r="IK96" s="12">
        <v>0</v>
      </c>
      <c r="IL96" s="12">
        <v>0</v>
      </c>
      <c r="IM96" s="12">
        <v>1</v>
      </c>
      <c r="IN96" s="12">
        <v>0</v>
      </c>
      <c r="IO96" s="12">
        <v>0</v>
      </c>
      <c r="IP96" s="12">
        <v>0</v>
      </c>
      <c r="IQ96" s="12">
        <v>2</v>
      </c>
      <c r="IR96" s="12">
        <v>0</v>
      </c>
      <c r="IS96" s="12">
        <v>0</v>
      </c>
      <c r="IT96" s="12">
        <v>0</v>
      </c>
      <c r="IU96" s="12">
        <v>6</v>
      </c>
      <c r="IV96" s="12">
        <v>0</v>
      </c>
      <c r="IW96" s="12">
        <v>1</v>
      </c>
      <c r="IX96" s="11">
        <v>54270</v>
      </c>
      <c r="IY96" s="11">
        <v>26300</v>
      </c>
      <c r="IZ96" s="11">
        <v>48110</v>
      </c>
      <c r="JA96" s="85">
        <v>1</v>
      </c>
      <c r="JB96" s="85">
        <v>0</v>
      </c>
      <c r="JC96" s="85">
        <v>1</v>
      </c>
      <c r="JD96" s="12">
        <v>24</v>
      </c>
      <c r="JE96" s="12">
        <v>6</v>
      </c>
      <c r="JF96" s="12">
        <v>23</v>
      </c>
      <c r="JG96" s="12">
        <v>8</v>
      </c>
      <c r="JH96" s="12">
        <v>28</v>
      </c>
      <c r="JI96" s="12">
        <v>28</v>
      </c>
      <c r="JJ96" s="13" t="s">
        <v>620</v>
      </c>
      <c r="JK96" s="13" t="s">
        <v>619</v>
      </c>
      <c r="JL96" s="13" t="s">
        <v>296</v>
      </c>
      <c r="JM96" s="89"/>
      <c r="JN96" s="89"/>
      <c r="JO96" s="89" t="s">
        <v>296</v>
      </c>
      <c r="JP96" s="89"/>
      <c r="JQ96" s="89"/>
      <c r="JR96" s="89" t="s">
        <v>296</v>
      </c>
      <c r="JS96" s="89" t="s">
        <v>620</v>
      </c>
      <c r="JT96" s="89" t="s">
        <v>619</v>
      </c>
      <c r="JU96" s="89" t="s">
        <v>296</v>
      </c>
      <c r="JV96" s="89"/>
      <c r="JW96" s="89"/>
      <c r="JX96" s="89" t="s">
        <v>296</v>
      </c>
      <c r="JY96" s="12" t="s">
        <v>619</v>
      </c>
      <c r="JZ96" s="12" t="s">
        <v>34</v>
      </c>
      <c r="KA96" s="12" t="s">
        <v>34</v>
      </c>
      <c r="KB96" s="12" t="s">
        <v>34</v>
      </c>
      <c r="KC96" s="12" t="s">
        <v>34</v>
      </c>
      <c r="KD96" s="12" t="s">
        <v>34</v>
      </c>
      <c r="KE96" s="12" t="s">
        <v>34</v>
      </c>
      <c r="KF96" s="12"/>
      <c r="KG96" s="12" t="s">
        <v>34</v>
      </c>
      <c r="KH96" s="12" t="s">
        <v>34</v>
      </c>
      <c r="KI96" s="12" t="s">
        <v>34</v>
      </c>
      <c r="KJ96" s="12" t="s">
        <v>34</v>
      </c>
      <c r="KK96" s="12" t="s">
        <v>34</v>
      </c>
      <c r="KL96" s="12" t="s">
        <v>34</v>
      </c>
      <c r="KM96" s="12" t="s">
        <v>619</v>
      </c>
      <c r="KN96" s="12" t="s">
        <v>619</v>
      </c>
      <c r="KO96" s="12" t="s">
        <v>619</v>
      </c>
      <c r="KP96" s="12" t="s">
        <v>34</v>
      </c>
      <c r="KQ96" s="12" t="s">
        <v>619</v>
      </c>
      <c r="KR96" s="12" t="s">
        <v>34</v>
      </c>
      <c r="KS96" s="12" t="s">
        <v>619</v>
      </c>
      <c r="KT96" s="12" t="s">
        <v>34</v>
      </c>
      <c r="KU96" s="12" t="s">
        <v>619</v>
      </c>
      <c r="KV96" s="12" t="s">
        <v>34</v>
      </c>
      <c r="KW96" s="12" t="s">
        <v>34</v>
      </c>
      <c r="KX96" s="12" t="s">
        <v>34</v>
      </c>
      <c r="KY96" s="12" t="s">
        <v>34</v>
      </c>
      <c r="KZ96" s="12" t="s">
        <v>34</v>
      </c>
      <c r="LA96" s="12" t="s">
        <v>619</v>
      </c>
      <c r="LB96" s="12" t="s">
        <v>619</v>
      </c>
      <c r="LC96" s="12" t="s">
        <v>34</v>
      </c>
      <c r="LD96" s="12" t="s">
        <v>34</v>
      </c>
      <c r="LE96" s="12" t="s">
        <v>619</v>
      </c>
      <c r="LF96" s="12" t="s">
        <v>619</v>
      </c>
      <c r="LG96" s="12" t="s">
        <v>34</v>
      </c>
      <c r="LH96" s="12" t="s">
        <v>34</v>
      </c>
      <c r="LI96" s="12" t="s">
        <v>619</v>
      </c>
      <c r="LJ96" s="12" t="s">
        <v>619</v>
      </c>
      <c r="LK96" s="12" t="s">
        <v>34</v>
      </c>
      <c r="LL96" s="13" t="s">
        <v>34</v>
      </c>
      <c r="LM96" s="13" t="s">
        <v>34</v>
      </c>
      <c r="LN96" s="13" t="s">
        <v>34</v>
      </c>
      <c r="LO96" s="13" t="s">
        <v>34</v>
      </c>
      <c r="LP96" s="90" t="s">
        <v>34</v>
      </c>
      <c r="LQ96" s="13" t="s">
        <v>34</v>
      </c>
      <c r="LR96" s="13" t="s">
        <v>34</v>
      </c>
      <c r="LS96" s="13"/>
      <c r="LT96" s="13" t="s">
        <v>34</v>
      </c>
      <c r="LU96" s="13" t="s">
        <v>34</v>
      </c>
      <c r="LV96" s="13" t="s">
        <v>34</v>
      </c>
      <c r="LW96" s="13" t="s">
        <v>34</v>
      </c>
      <c r="LX96" s="13" t="s">
        <v>34</v>
      </c>
      <c r="LY96" s="13" t="s">
        <v>34</v>
      </c>
      <c r="LZ96" s="13" t="s">
        <v>34</v>
      </c>
      <c r="MA96" s="13" t="s">
        <v>619</v>
      </c>
      <c r="MB96" s="13" t="s">
        <v>619</v>
      </c>
      <c r="MC96" s="13" t="s">
        <v>619</v>
      </c>
      <c r="MD96" s="13" t="s">
        <v>619</v>
      </c>
      <c r="ME96" s="13" t="s">
        <v>34</v>
      </c>
      <c r="MF96" s="13" t="s">
        <v>34</v>
      </c>
      <c r="MG96" s="13" t="s">
        <v>34</v>
      </c>
      <c r="MH96" s="13" t="s">
        <v>34</v>
      </c>
      <c r="MI96" s="13" t="s">
        <v>34</v>
      </c>
      <c r="MJ96" s="13" t="s">
        <v>34</v>
      </c>
      <c r="MK96" s="13" t="s">
        <v>34</v>
      </c>
      <c r="ML96" s="13" t="s">
        <v>34</v>
      </c>
      <c r="MM96" s="13" t="s">
        <v>34</v>
      </c>
      <c r="MN96" s="13" t="s">
        <v>34</v>
      </c>
      <c r="MO96" s="13" t="s">
        <v>619</v>
      </c>
      <c r="MP96" s="13" t="s">
        <v>34</v>
      </c>
      <c r="MQ96" s="13" t="s">
        <v>619</v>
      </c>
      <c r="MR96" s="13" t="s">
        <v>34</v>
      </c>
      <c r="MS96" s="13" t="s">
        <v>34</v>
      </c>
      <c r="MT96" s="13" t="s">
        <v>34</v>
      </c>
      <c r="MU96" s="13" t="s">
        <v>34</v>
      </c>
      <c r="MV96" s="13" t="s">
        <v>619</v>
      </c>
      <c r="MW96" s="13" t="s">
        <v>34</v>
      </c>
      <c r="MX96" s="13" t="s">
        <v>34</v>
      </c>
      <c r="MY96" s="28" t="s">
        <v>296</v>
      </c>
      <c r="MZ96" s="28" t="s">
        <v>296</v>
      </c>
      <c r="NA96" s="28" t="s">
        <v>296</v>
      </c>
      <c r="NB96" s="28" t="s">
        <v>296</v>
      </c>
      <c r="NC96" s="28" t="s">
        <v>296</v>
      </c>
      <c r="ND96" s="28" t="s">
        <v>296</v>
      </c>
      <c r="NE96" s="28" t="s">
        <v>297</v>
      </c>
      <c r="NF96" s="28" t="s">
        <v>297</v>
      </c>
      <c r="NG96" s="28" t="s">
        <v>297</v>
      </c>
      <c r="NH96" s="28" t="s">
        <v>297</v>
      </c>
      <c r="NI96" s="177" t="s">
        <v>296</v>
      </c>
      <c r="NJ96" s="177" t="s">
        <v>297</v>
      </c>
      <c r="NK96" s="177" t="s">
        <v>296</v>
      </c>
      <c r="NL96" s="177" t="s">
        <v>296</v>
      </c>
      <c r="NM96" s="177" t="s">
        <v>297</v>
      </c>
      <c r="NN96" s="177" t="s">
        <v>296</v>
      </c>
      <c r="NO96" s="177" t="s">
        <v>296</v>
      </c>
      <c r="NP96" s="177" t="s">
        <v>296</v>
      </c>
      <c r="NQ96" s="177" t="s">
        <v>296</v>
      </c>
      <c r="NR96" s="12" t="s">
        <v>34</v>
      </c>
      <c r="NS96" s="13" t="s">
        <v>34</v>
      </c>
    </row>
    <row r="97" spans="1:383" x14ac:dyDescent="0.25">
      <c r="A97" s="8" t="s">
        <v>233</v>
      </c>
      <c r="B97" s="9" t="s">
        <v>234</v>
      </c>
      <c r="C97" s="9">
        <v>11</v>
      </c>
      <c r="D97" s="9" t="s">
        <v>196</v>
      </c>
      <c r="E97" s="10">
        <v>85</v>
      </c>
      <c r="F97" s="10">
        <v>84</v>
      </c>
      <c r="G97" s="10">
        <v>83</v>
      </c>
      <c r="H97" s="10">
        <v>80</v>
      </c>
      <c r="I97" s="10">
        <v>66</v>
      </c>
      <c r="J97" s="11">
        <v>790</v>
      </c>
      <c r="K97" s="11">
        <v>807</v>
      </c>
      <c r="L97" s="11">
        <v>808</v>
      </c>
      <c r="M97" s="11">
        <v>807</v>
      </c>
      <c r="N97" s="11">
        <v>684</v>
      </c>
      <c r="O97" s="13">
        <v>10242</v>
      </c>
      <c r="P97" s="13">
        <v>10328</v>
      </c>
      <c r="Q97" s="13">
        <v>9711</v>
      </c>
      <c r="R97" s="13">
        <v>9933</v>
      </c>
      <c r="S97" s="13">
        <v>8546</v>
      </c>
      <c r="T97" s="12">
        <v>2434</v>
      </c>
      <c r="U97" s="12">
        <v>2488</v>
      </c>
      <c r="V97" s="12">
        <v>2820</v>
      </c>
      <c r="W97" s="12">
        <v>2921</v>
      </c>
      <c r="X97" s="12">
        <v>2441</v>
      </c>
      <c r="Y97" s="12">
        <v>7.87</v>
      </c>
      <c r="Z97" s="12">
        <v>7.88</v>
      </c>
      <c r="AA97" s="12">
        <v>7.88</v>
      </c>
      <c r="AB97" s="13">
        <v>7.87</v>
      </c>
      <c r="AC97" s="13">
        <v>7.88</v>
      </c>
      <c r="AD97" s="13">
        <v>7.88</v>
      </c>
      <c r="AE97" s="35" t="s">
        <v>259</v>
      </c>
      <c r="AF97" s="35" t="s">
        <v>259</v>
      </c>
      <c r="AG97" s="35" t="s">
        <v>259</v>
      </c>
      <c r="AH97" s="38">
        <v>1</v>
      </c>
      <c r="AI97" s="38">
        <v>1</v>
      </c>
      <c r="AJ97" s="38">
        <v>1</v>
      </c>
      <c r="AK97" s="45" t="s">
        <v>34</v>
      </c>
      <c r="AL97" s="45" t="s">
        <v>34</v>
      </c>
      <c r="AM97" s="45" t="s">
        <v>34</v>
      </c>
      <c r="AN97" s="45" t="s">
        <v>34</v>
      </c>
      <c r="AO97" s="45" t="s">
        <v>34</v>
      </c>
      <c r="AP97" s="45" t="s">
        <v>292</v>
      </c>
      <c r="AQ97" s="53" t="s">
        <v>296</v>
      </c>
      <c r="AR97" s="56">
        <v>115</v>
      </c>
      <c r="AS97" s="57">
        <v>71</v>
      </c>
      <c r="AT97" s="56">
        <v>57</v>
      </c>
      <c r="AU97" s="57">
        <v>27902</v>
      </c>
      <c r="AV97" s="57">
        <v>14373</v>
      </c>
      <c r="AW97" s="57">
        <v>9513</v>
      </c>
      <c r="AX97" s="57">
        <v>22</v>
      </c>
      <c r="AY97" s="57">
        <v>14</v>
      </c>
      <c r="AZ97" s="57">
        <v>24</v>
      </c>
      <c r="BA97" s="57">
        <v>0</v>
      </c>
      <c r="BB97" s="57">
        <v>0</v>
      </c>
      <c r="BC97" s="57">
        <v>0</v>
      </c>
      <c r="BD97" s="57">
        <v>2088</v>
      </c>
      <c r="BE97" s="57">
        <v>2529</v>
      </c>
      <c r="BF97" s="57">
        <v>5809</v>
      </c>
      <c r="BG97" s="57">
        <v>359</v>
      </c>
      <c r="BH97" s="57">
        <v>0</v>
      </c>
      <c r="BI97" s="57">
        <v>0</v>
      </c>
      <c r="BJ97" s="57" t="s">
        <v>296</v>
      </c>
      <c r="BK97" s="57">
        <v>16</v>
      </c>
      <c r="BL97" s="57">
        <v>0</v>
      </c>
      <c r="BM97" s="57">
        <v>1</v>
      </c>
      <c r="BN97" s="57">
        <v>900</v>
      </c>
      <c r="BO97" s="57">
        <v>637</v>
      </c>
      <c r="BP97" s="57">
        <v>0</v>
      </c>
      <c r="BQ97" s="76">
        <v>776</v>
      </c>
      <c r="BR97" s="76">
        <v>775</v>
      </c>
      <c r="BS97">
        <v>774</v>
      </c>
      <c r="BT97">
        <v>774</v>
      </c>
      <c r="BU97">
        <v>775</v>
      </c>
      <c r="BV97">
        <v>145218</v>
      </c>
      <c r="BW97">
        <v>146208</v>
      </c>
      <c r="BX97">
        <v>147488</v>
      </c>
      <c r="BY97">
        <v>148659</v>
      </c>
      <c r="BZ97">
        <v>149677</v>
      </c>
      <c r="CA97">
        <v>88</v>
      </c>
      <c r="CB97">
        <v>88</v>
      </c>
      <c r="CC97">
        <v>90</v>
      </c>
      <c r="CD97">
        <v>83</v>
      </c>
      <c r="CE97">
        <v>66</v>
      </c>
      <c r="CF97">
        <v>12676</v>
      </c>
      <c r="CG97">
        <v>12816</v>
      </c>
      <c r="CH97">
        <v>12531</v>
      </c>
      <c r="CI97">
        <v>12854</v>
      </c>
      <c r="CJ97">
        <v>10987</v>
      </c>
      <c r="CK97" s="10">
        <v>31</v>
      </c>
      <c r="CL97" s="10">
        <v>31.1</v>
      </c>
      <c r="CM97" s="10">
        <v>31.1</v>
      </c>
      <c r="CN97" s="11">
        <v>26.73</v>
      </c>
      <c r="CO97" s="11">
        <v>26.72</v>
      </c>
      <c r="CP97" s="11">
        <v>26.72</v>
      </c>
      <c r="CQ97" s="13">
        <v>0</v>
      </c>
      <c r="CR97" s="13">
        <v>0</v>
      </c>
      <c r="CS97" s="13">
        <v>0</v>
      </c>
      <c r="CT97" s="10">
        <v>0</v>
      </c>
      <c r="CU97" s="10">
        <v>0</v>
      </c>
      <c r="CV97" s="10">
        <v>0</v>
      </c>
      <c r="CW97" s="10">
        <v>0</v>
      </c>
      <c r="CX97" s="10">
        <v>0</v>
      </c>
      <c r="CY97" s="10">
        <v>0</v>
      </c>
      <c r="CZ97" s="10">
        <v>0</v>
      </c>
      <c r="DA97" s="10">
        <v>0</v>
      </c>
      <c r="DB97" s="10">
        <v>0</v>
      </c>
      <c r="DC97" s="10">
        <v>0</v>
      </c>
      <c r="DD97" s="10">
        <v>0</v>
      </c>
      <c r="DE97" s="10">
        <v>0</v>
      </c>
      <c r="DF97" s="10">
        <v>0</v>
      </c>
      <c r="DG97" s="10">
        <v>0</v>
      </c>
      <c r="DH97" s="10">
        <v>0</v>
      </c>
      <c r="DI97" s="81">
        <v>0</v>
      </c>
      <c r="DJ97" s="81">
        <v>0</v>
      </c>
      <c r="DK97" s="81">
        <v>0</v>
      </c>
      <c r="DL97" s="81">
        <v>0</v>
      </c>
      <c r="DM97" s="81">
        <v>0</v>
      </c>
      <c r="DN97" s="12">
        <v>0</v>
      </c>
      <c r="DO97" s="12">
        <v>0</v>
      </c>
      <c r="DP97" s="12">
        <v>0</v>
      </c>
      <c r="DQ97" s="12">
        <v>0</v>
      </c>
      <c r="DR97" s="12">
        <v>0</v>
      </c>
      <c r="DS97" s="12">
        <v>0</v>
      </c>
      <c r="DT97" s="12">
        <v>0</v>
      </c>
      <c r="DU97" s="12">
        <v>0</v>
      </c>
      <c r="DV97" s="12">
        <v>0</v>
      </c>
      <c r="DW97" s="12">
        <v>0</v>
      </c>
      <c r="DX97" s="12">
        <v>0</v>
      </c>
      <c r="DY97" s="12">
        <v>0</v>
      </c>
      <c r="DZ97" s="12">
        <v>0</v>
      </c>
      <c r="EA97" s="12">
        <v>0</v>
      </c>
      <c r="EB97" s="12">
        <v>0</v>
      </c>
      <c r="EC97" s="12">
        <v>0</v>
      </c>
      <c r="ED97" s="12">
        <v>0</v>
      </c>
      <c r="EE97" s="12">
        <v>0</v>
      </c>
      <c r="EF97" s="12">
        <v>0</v>
      </c>
      <c r="EG97" s="12">
        <v>0</v>
      </c>
      <c r="EH97" s="12">
        <v>0</v>
      </c>
      <c r="EI97" s="12">
        <v>0</v>
      </c>
      <c r="EJ97" s="12">
        <v>0</v>
      </c>
      <c r="EK97" s="12">
        <v>0</v>
      </c>
      <c r="EL97" s="12">
        <v>0</v>
      </c>
      <c r="EM97" s="12">
        <v>0</v>
      </c>
      <c r="EN97" s="12">
        <v>0</v>
      </c>
      <c r="EO97" s="12">
        <v>0</v>
      </c>
      <c r="EP97" s="12">
        <v>0</v>
      </c>
      <c r="EQ97" s="12">
        <v>0</v>
      </c>
      <c r="ER97" s="12">
        <v>0</v>
      </c>
      <c r="ES97" s="13">
        <v>1</v>
      </c>
      <c r="ET97" s="13">
        <v>0</v>
      </c>
      <c r="EU97" s="13">
        <v>0</v>
      </c>
      <c r="EV97" s="10">
        <v>0</v>
      </c>
      <c r="EW97" s="10">
        <v>0</v>
      </c>
      <c r="EX97" s="10">
        <v>0</v>
      </c>
      <c r="EY97" s="10">
        <v>0</v>
      </c>
      <c r="EZ97" s="10">
        <v>0</v>
      </c>
      <c r="FA97" s="10">
        <v>0</v>
      </c>
      <c r="FB97" s="10">
        <v>0</v>
      </c>
      <c r="FC97" s="10">
        <v>0</v>
      </c>
      <c r="FD97" s="10">
        <v>0</v>
      </c>
      <c r="FE97" s="10">
        <v>0</v>
      </c>
      <c r="FF97" s="10">
        <v>0</v>
      </c>
      <c r="FG97" s="10">
        <v>0</v>
      </c>
      <c r="FH97" s="10">
        <v>0</v>
      </c>
      <c r="FI97" s="10">
        <v>0</v>
      </c>
      <c r="FJ97" s="10">
        <v>0</v>
      </c>
      <c r="FK97" s="81">
        <v>0</v>
      </c>
      <c r="FL97" s="81">
        <v>0</v>
      </c>
      <c r="FM97" s="81">
        <v>0</v>
      </c>
      <c r="FN97" s="81">
        <v>0</v>
      </c>
      <c r="FO97" s="81">
        <v>0</v>
      </c>
      <c r="FP97" s="12">
        <v>0</v>
      </c>
      <c r="FQ97" s="12">
        <v>0</v>
      </c>
      <c r="FR97" s="12">
        <v>0</v>
      </c>
      <c r="FS97" s="12">
        <v>0</v>
      </c>
      <c r="FT97" s="12">
        <v>0</v>
      </c>
      <c r="FU97" s="12">
        <v>0</v>
      </c>
      <c r="FV97" s="12">
        <v>0</v>
      </c>
      <c r="FW97" s="12">
        <v>0</v>
      </c>
      <c r="FX97" s="12">
        <v>0</v>
      </c>
      <c r="FY97" s="12">
        <v>0</v>
      </c>
      <c r="FZ97" s="12">
        <v>0</v>
      </c>
      <c r="GA97" s="12">
        <v>0</v>
      </c>
      <c r="GB97" s="12">
        <v>0</v>
      </c>
      <c r="GC97" s="12">
        <v>0</v>
      </c>
      <c r="GD97" s="12">
        <v>0</v>
      </c>
      <c r="GE97" s="12">
        <v>0</v>
      </c>
      <c r="GF97" s="12">
        <v>0</v>
      </c>
      <c r="GG97" s="12">
        <v>0</v>
      </c>
      <c r="GH97" s="12">
        <v>0</v>
      </c>
      <c r="GI97" s="12">
        <v>0</v>
      </c>
      <c r="GJ97" s="12">
        <v>0</v>
      </c>
      <c r="GK97" s="12">
        <v>0</v>
      </c>
      <c r="GL97" s="12">
        <v>0</v>
      </c>
      <c r="GM97" s="12">
        <v>0</v>
      </c>
      <c r="GN97" s="12">
        <v>0</v>
      </c>
      <c r="GO97" s="12">
        <v>0</v>
      </c>
      <c r="GP97" s="12">
        <v>0</v>
      </c>
      <c r="GQ97" s="12">
        <v>0</v>
      </c>
      <c r="GR97" s="12">
        <v>0</v>
      </c>
      <c r="GS97" s="12">
        <v>0</v>
      </c>
      <c r="GT97" s="12">
        <v>0</v>
      </c>
      <c r="GU97" s="13">
        <v>71</v>
      </c>
      <c r="GV97" s="13">
        <v>0</v>
      </c>
      <c r="GW97" s="13">
        <v>0</v>
      </c>
      <c r="GX97" s="13">
        <v>0</v>
      </c>
      <c r="GY97" s="10">
        <v>0</v>
      </c>
      <c r="GZ97" s="10">
        <v>0</v>
      </c>
      <c r="HA97" s="10">
        <v>0</v>
      </c>
      <c r="HB97" s="10">
        <v>0</v>
      </c>
      <c r="HC97" s="10">
        <v>0</v>
      </c>
      <c r="HD97" s="10">
        <v>0</v>
      </c>
      <c r="HE97" s="10">
        <v>0</v>
      </c>
      <c r="HF97" s="10">
        <v>0</v>
      </c>
      <c r="HG97" s="10">
        <v>0</v>
      </c>
      <c r="HH97" s="10">
        <v>0</v>
      </c>
      <c r="HI97" s="10">
        <v>0</v>
      </c>
      <c r="HJ97" s="10">
        <v>0</v>
      </c>
      <c r="HK97" s="10">
        <v>0</v>
      </c>
      <c r="HL97" s="10">
        <v>0</v>
      </c>
      <c r="HM97" s="10">
        <v>0</v>
      </c>
      <c r="HN97" s="81">
        <v>0</v>
      </c>
      <c r="HO97" s="81">
        <v>0</v>
      </c>
      <c r="HP97" s="81">
        <v>0</v>
      </c>
      <c r="HQ97" s="81">
        <v>0</v>
      </c>
      <c r="HR97" s="81">
        <v>0</v>
      </c>
      <c r="HS97" s="12">
        <v>0</v>
      </c>
      <c r="HT97" s="12">
        <v>0</v>
      </c>
      <c r="HU97" s="12">
        <v>0</v>
      </c>
      <c r="HV97" s="12">
        <v>0</v>
      </c>
      <c r="HW97" s="12">
        <v>0</v>
      </c>
      <c r="HX97" s="12">
        <v>0</v>
      </c>
      <c r="HY97" s="12">
        <v>0</v>
      </c>
      <c r="HZ97" s="12">
        <v>0</v>
      </c>
      <c r="IA97" s="12">
        <v>0</v>
      </c>
      <c r="IB97" s="12">
        <v>0</v>
      </c>
      <c r="IC97" s="12">
        <v>0</v>
      </c>
      <c r="ID97" s="12">
        <v>0</v>
      </c>
      <c r="IE97" s="12">
        <v>0</v>
      </c>
      <c r="IF97" s="12">
        <v>0</v>
      </c>
      <c r="IG97" s="12">
        <v>0</v>
      </c>
      <c r="IH97" s="12">
        <v>0</v>
      </c>
      <c r="II97" s="12">
        <v>0</v>
      </c>
      <c r="IJ97" s="12">
        <v>0</v>
      </c>
      <c r="IK97" s="12">
        <v>0</v>
      </c>
      <c r="IL97" s="12">
        <v>0</v>
      </c>
      <c r="IM97" s="12">
        <v>0</v>
      </c>
      <c r="IN97" s="12">
        <v>0</v>
      </c>
      <c r="IO97" s="12">
        <v>0</v>
      </c>
      <c r="IP97" s="12">
        <v>0</v>
      </c>
      <c r="IQ97" s="12">
        <v>0</v>
      </c>
      <c r="IR97" s="12">
        <v>0</v>
      </c>
      <c r="IS97" s="12">
        <v>0</v>
      </c>
      <c r="IT97" s="12">
        <v>0</v>
      </c>
      <c r="IU97" s="12">
        <v>0</v>
      </c>
      <c r="IV97" s="12">
        <v>0</v>
      </c>
      <c r="IW97" s="12">
        <v>0</v>
      </c>
      <c r="IX97" s="11">
        <v>0</v>
      </c>
      <c r="IY97" s="11">
        <v>15000</v>
      </c>
      <c r="IZ97" s="11">
        <v>16500</v>
      </c>
      <c r="JA97" s="85" t="s">
        <v>604</v>
      </c>
      <c r="JB97" s="85" t="s">
        <v>603</v>
      </c>
      <c r="JC97" s="85">
        <v>0</v>
      </c>
      <c r="JD97" s="12">
        <v>27</v>
      </c>
      <c r="JE97" s="12">
        <v>0</v>
      </c>
      <c r="JF97" s="12">
        <v>26</v>
      </c>
      <c r="JG97" s="12">
        <v>0</v>
      </c>
      <c r="JH97" s="12">
        <v>28</v>
      </c>
      <c r="JI97" s="12">
        <v>0</v>
      </c>
      <c r="JJ97" s="13" t="s">
        <v>619</v>
      </c>
      <c r="JK97" s="13" t="s">
        <v>620</v>
      </c>
      <c r="JL97" s="13" t="s">
        <v>297</v>
      </c>
      <c r="JM97" s="89"/>
      <c r="JN97" s="89"/>
      <c r="JO97" s="89" t="s">
        <v>296</v>
      </c>
      <c r="JP97" s="89"/>
      <c r="JQ97" s="89"/>
      <c r="JR97" s="89" t="s">
        <v>296</v>
      </c>
      <c r="JS97" s="89" t="s">
        <v>619</v>
      </c>
      <c r="JT97" s="89" t="s">
        <v>619</v>
      </c>
      <c r="JU97" s="89" t="s">
        <v>296</v>
      </c>
      <c r="JV97" s="89"/>
      <c r="JW97" s="89"/>
      <c r="JX97" s="89" t="s">
        <v>297</v>
      </c>
      <c r="JY97" s="12" t="s">
        <v>34</v>
      </c>
      <c r="JZ97" s="12" t="s">
        <v>34</v>
      </c>
      <c r="KA97" s="12" t="s">
        <v>34</v>
      </c>
      <c r="KB97" s="12" t="s">
        <v>34</v>
      </c>
      <c r="KC97" s="12" t="s">
        <v>34</v>
      </c>
      <c r="KD97" s="12" t="s">
        <v>34</v>
      </c>
      <c r="KE97" s="12" t="s">
        <v>34</v>
      </c>
      <c r="KF97" s="12"/>
      <c r="KG97" s="12" t="s">
        <v>34</v>
      </c>
      <c r="KH97" s="12" t="s">
        <v>34</v>
      </c>
      <c r="KI97" s="12" t="s">
        <v>34</v>
      </c>
      <c r="KJ97" s="12" t="s">
        <v>619</v>
      </c>
      <c r="KK97" s="12" t="s">
        <v>34</v>
      </c>
      <c r="KL97" s="12" t="s">
        <v>619</v>
      </c>
      <c r="KM97" s="12" t="s">
        <v>34</v>
      </c>
      <c r="KN97" s="12" t="s">
        <v>34</v>
      </c>
      <c r="KO97" s="12" t="s">
        <v>34</v>
      </c>
      <c r="KP97" s="12" t="s">
        <v>34</v>
      </c>
      <c r="KQ97" s="12" t="s">
        <v>34</v>
      </c>
      <c r="KR97" s="12" t="s">
        <v>619</v>
      </c>
      <c r="KS97" s="12" t="s">
        <v>34</v>
      </c>
      <c r="KT97" s="12" t="s">
        <v>34</v>
      </c>
      <c r="KU97" s="12" t="s">
        <v>34</v>
      </c>
      <c r="KV97" s="12" t="s">
        <v>34</v>
      </c>
      <c r="KW97" s="12" t="s">
        <v>34</v>
      </c>
      <c r="KX97" s="12" t="s">
        <v>34</v>
      </c>
      <c r="KY97" s="12" t="s">
        <v>34</v>
      </c>
      <c r="KZ97" s="12" t="s">
        <v>34</v>
      </c>
      <c r="LA97" s="12" t="s">
        <v>34</v>
      </c>
      <c r="LB97" s="12" t="s">
        <v>34</v>
      </c>
      <c r="LC97" s="12" t="s">
        <v>34</v>
      </c>
      <c r="LD97" s="12" t="s">
        <v>34</v>
      </c>
      <c r="LE97" s="12" t="s">
        <v>34</v>
      </c>
      <c r="LF97" s="12" t="s">
        <v>34</v>
      </c>
      <c r="LG97" s="12" t="s">
        <v>34</v>
      </c>
      <c r="LH97" s="12" t="s">
        <v>34</v>
      </c>
      <c r="LI97" s="12" t="s">
        <v>34</v>
      </c>
      <c r="LJ97" s="12" t="s">
        <v>34</v>
      </c>
      <c r="LK97" s="12" t="s">
        <v>34</v>
      </c>
      <c r="LL97" s="13" t="s">
        <v>34</v>
      </c>
      <c r="LM97" s="13" t="s">
        <v>34</v>
      </c>
      <c r="LN97" s="13" t="s">
        <v>34</v>
      </c>
      <c r="LO97" s="13" t="s">
        <v>34</v>
      </c>
      <c r="LP97" s="90" t="s">
        <v>619</v>
      </c>
      <c r="LQ97" s="13" t="s">
        <v>34</v>
      </c>
      <c r="LR97" s="13" t="s">
        <v>34</v>
      </c>
      <c r="LS97" s="13"/>
      <c r="LT97" s="13" t="s">
        <v>34</v>
      </c>
      <c r="LU97" s="13" t="s">
        <v>34</v>
      </c>
      <c r="LV97" s="13" t="s">
        <v>34</v>
      </c>
      <c r="LW97" s="13" t="s">
        <v>34</v>
      </c>
      <c r="LX97" s="13" t="s">
        <v>34</v>
      </c>
      <c r="LY97" s="13" t="s">
        <v>34</v>
      </c>
      <c r="LZ97" s="13" t="s">
        <v>619</v>
      </c>
      <c r="MA97" s="13" t="s">
        <v>619</v>
      </c>
      <c r="MB97" s="13" t="s">
        <v>619</v>
      </c>
      <c r="MC97" s="13" t="s">
        <v>619</v>
      </c>
      <c r="MD97" s="13" t="s">
        <v>619</v>
      </c>
      <c r="ME97" s="13" t="s">
        <v>34</v>
      </c>
      <c r="MF97" s="13" t="s">
        <v>34</v>
      </c>
      <c r="MG97" s="13" t="s">
        <v>34</v>
      </c>
      <c r="MH97" s="13" t="s">
        <v>34</v>
      </c>
      <c r="MI97" s="13" t="s">
        <v>34</v>
      </c>
      <c r="MJ97" s="13" t="s">
        <v>34</v>
      </c>
      <c r="MK97" s="13" t="s">
        <v>34</v>
      </c>
      <c r="ML97" s="13" t="s">
        <v>34</v>
      </c>
      <c r="MM97" s="13" t="s">
        <v>34</v>
      </c>
      <c r="MN97" s="13" t="s">
        <v>34</v>
      </c>
      <c r="MO97" s="13" t="s">
        <v>619</v>
      </c>
      <c r="MP97" s="13" t="s">
        <v>619</v>
      </c>
      <c r="MQ97" s="13" t="s">
        <v>619</v>
      </c>
      <c r="MR97" s="13" t="s">
        <v>34</v>
      </c>
      <c r="MS97" s="13" t="s">
        <v>34</v>
      </c>
      <c r="MT97" s="13" t="s">
        <v>34</v>
      </c>
      <c r="MU97" s="13" t="s">
        <v>34</v>
      </c>
      <c r="MV97" s="13" t="s">
        <v>34</v>
      </c>
      <c r="MW97" s="13" t="s">
        <v>619</v>
      </c>
      <c r="MX97" s="13" t="s">
        <v>34</v>
      </c>
      <c r="MY97" s="28" t="s">
        <v>296</v>
      </c>
      <c r="MZ97" s="28" t="s">
        <v>296</v>
      </c>
      <c r="NA97" s="28" t="s">
        <v>296</v>
      </c>
      <c r="NB97" s="28" t="s">
        <v>296</v>
      </c>
      <c r="NC97" s="28" t="s">
        <v>296</v>
      </c>
      <c r="ND97" s="28" t="s">
        <v>296</v>
      </c>
      <c r="NE97" s="28" t="s">
        <v>296</v>
      </c>
      <c r="NF97" s="28" t="s">
        <v>297</v>
      </c>
      <c r="NG97" s="28" t="s">
        <v>297</v>
      </c>
      <c r="NH97" s="28" t="s">
        <v>297</v>
      </c>
      <c r="NI97" s="177" t="s">
        <v>296</v>
      </c>
      <c r="NJ97" s="177" t="s">
        <v>297</v>
      </c>
      <c r="NK97" s="177" t="s">
        <v>296</v>
      </c>
      <c r="NL97" s="177" t="s">
        <v>296</v>
      </c>
      <c r="NM97" s="177" t="s">
        <v>296</v>
      </c>
      <c r="NN97" s="177" t="s">
        <v>296</v>
      </c>
      <c r="NO97" s="177" t="s">
        <v>296</v>
      </c>
      <c r="NP97" s="177" t="s">
        <v>296</v>
      </c>
      <c r="NQ97" s="177" t="s">
        <v>296</v>
      </c>
      <c r="NR97" s="12" t="s">
        <v>619</v>
      </c>
      <c r="NS97" s="13" t="s">
        <v>34</v>
      </c>
    </row>
    <row r="98" spans="1:383" x14ac:dyDescent="0.25">
      <c r="A98" s="8" t="s">
        <v>235</v>
      </c>
      <c r="B98" s="9" t="s">
        <v>236</v>
      </c>
      <c r="C98" s="9">
        <v>1</v>
      </c>
      <c r="D98" s="9" t="s">
        <v>237</v>
      </c>
      <c r="E98" s="10">
        <v>83</v>
      </c>
      <c r="F98" s="10">
        <v>78</v>
      </c>
      <c r="G98" s="10">
        <v>86</v>
      </c>
      <c r="H98" s="10">
        <v>75</v>
      </c>
      <c r="I98" s="10">
        <v>60</v>
      </c>
      <c r="J98" s="11">
        <v>903</v>
      </c>
      <c r="K98" s="11">
        <v>815</v>
      </c>
      <c r="L98" s="11">
        <v>807</v>
      </c>
      <c r="M98" s="11">
        <v>701</v>
      </c>
      <c r="N98" s="11">
        <v>462</v>
      </c>
      <c r="O98" s="13">
        <v>6724</v>
      </c>
      <c r="P98" s="13">
        <v>7248</v>
      </c>
      <c r="Q98" s="13">
        <v>5656</v>
      </c>
      <c r="R98" s="13">
        <v>4573</v>
      </c>
      <c r="S98" s="13">
        <v>2773</v>
      </c>
      <c r="T98" s="12">
        <v>1624</v>
      </c>
      <c r="U98" s="12">
        <v>1522</v>
      </c>
      <c r="V98" s="12">
        <v>1425</v>
      </c>
      <c r="W98" s="12">
        <v>1170</v>
      </c>
      <c r="X98" s="12">
        <v>534</v>
      </c>
      <c r="Y98" s="12">
        <v>6</v>
      </c>
      <c r="Z98" s="12">
        <v>6</v>
      </c>
      <c r="AA98" s="12">
        <v>6</v>
      </c>
      <c r="AB98" s="13">
        <v>5</v>
      </c>
      <c r="AC98" s="13">
        <v>5</v>
      </c>
      <c r="AD98" s="13">
        <v>5</v>
      </c>
      <c r="AE98" s="35" t="s">
        <v>259</v>
      </c>
      <c r="AF98" s="35" t="s">
        <v>259</v>
      </c>
      <c r="AG98" s="35" t="s">
        <v>258</v>
      </c>
      <c r="AH98" s="38">
        <v>1</v>
      </c>
      <c r="AI98" s="38">
        <v>1</v>
      </c>
      <c r="AJ98" s="38">
        <v>1</v>
      </c>
      <c r="AK98" s="45" t="s">
        <v>34</v>
      </c>
      <c r="AL98" s="45" t="s">
        <v>34</v>
      </c>
      <c r="AM98" s="45" t="s">
        <v>34</v>
      </c>
      <c r="AN98" s="45" t="s">
        <v>34</v>
      </c>
      <c r="AO98" s="45" t="s">
        <v>34</v>
      </c>
      <c r="AP98" s="45" t="s">
        <v>292</v>
      </c>
      <c r="AQ98" s="53" t="s">
        <v>297</v>
      </c>
      <c r="AR98" s="56">
        <v>31</v>
      </c>
      <c r="AS98" s="57">
        <v>11</v>
      </c>
      <c r="AT98" s="56">
        <v>33</v>
      </c>
      <c r="AU98" s="57">
        <v>5131</v>
      </c>
      <c r="AV98" s="57">
        <v>1287</v>
      </c>
      <c r="AW98" s="57">
        <v>1378</v>
      </c>
      <c r="AX98" s="57">
        <v>9</v>
      </c>
      <c r="AY98" s="57">
        <v>3</v>
      </c>
      <c r="AZ98" s="57">
        <v>0</v>
      </c>
      <c r="BA98" s="57">
        <v>820</v>
      </c>
      <c r="BB98" s="57">
        <v>1472</v>
      </c>
      <c r="BC98" s="57">
        <v>2752</v>
      </c>
      <c r="BD98" s="57">
        <v>314</v>
      </c>
      <c r="BE98" s="57">
        <v>644</v>
      </c>
      <c r="BF98" s="57">
        <v>949</v>
      </c>
      <c r="BG98" s="57">
        <v>781</v>
      </c>
      <c r="BH98" s="57">
        <v>652</v>
      </c>
      <c r="BI98" s="57">
        <v>1260</v>
      </c>
      <c r="BJ98" s="57" t="s">
        <v>296</v>
      </c>
      <c r="BK98" s="57">
        <v>37</v>
      </c>
      <c r="BL98" s="57">
        <v>11</v>
      </c>
      <c r="BM98" s="57">
        <v>0</v>
      </c>
      <c r="BN98" s="57">
        <v>2285</v>
      </c>
      <c r="BO98" s="57">
        <v>3467</v>
      </c>
      <c r="BP98" s="57">
        <v>2384</v>
      </c>
      <c r="BQ98" s="76">
        <v>295</v>
      </c>
      <c r="BR98" s="76">
        <v>289</v>
      </c>
      <c r="BS98">
        <v>283</v>
      </c>
      <c r="BT98">
        <v>283</v>
      </c>
      <c r="BU98">
        <v>280</v>
      </c>
      <c r="BV98">
        <v>44353</v>
      </c>
      <c r="BW98">
        <v>43046</v>
      </c>
      <c r="BX98">
        <v>40617</v>
      </c>
      <c r="BY98">
        <v>39760</v>
      </c>
      <c r="BZ98">
        <v>38149</v>
      </c>
      <c r="CA98" t="s">
        <v>361</v>
      </c>
      <c r="CB98">
        <v>85</v>
      </c>
      <c r="CC98">
        <v>89</v>
      </c>
      <c r="CD98">
        <v>75</v>
      </c>
      <c r="CE98">
        <v>59</v>
      </c>
      <c r="CF98">
        <v>8348</v>
      </c>
      <c r="CG98">
        <v>8770</v>
      </c>
      <c r="CH98">
        <v>7081</v>
      </c>
      <c r="CI98">
        <v>5743</v>
      </c>
      <c r="CJ98">
        <v>3307</v>
      </c>
      <c r="CK98" s="10">
        <v>36</v>
      </c>
      <c r="CL98" s="10">
        <v>36</v>
      </c>
      <c r="CM98" s="10">
        <v>36</v>
      </c>
      <c r="CN98" s="11">
        <v>16</v>
      </c>
      <c r="CO98" s="11">
        <v>16</v>
      </c>
      <c r="CP98" s="11">
        <v>16</v>
      </c>
      <c r="CQ98" s="13">
        <v>4</v>
      </c>
      <c r="CR98" s="13">
        <v>2</v>
      </c>
      <c r="CS98" s="13">
        <v>0</v>
      </c>
      <c r="CT98" s="10">
        <v>0</v>
      </c>
      <c r="CU98" s="10">
        <v>0</v>
      </c>
      <c r="CV98" s="10">
        <v>2</v>
      </c>
      <c r="CW98" s="10">
        <v>8</v>
      </c>
      <c r="CX98" s="10">
        <v>6</v>
      </c>
      <c r="CY98" s="10">
        <v>0</v>
      </c>
      <c r="CZ98" s="10">
        <v>0</v>
      </c>
      <c r="DA98" s="10">
        <v>0</v>
      </c>
      <c r="DB98" s="10">
        <v>0</v>
      </c>
      <c r="DC98" s="10">
        <v>0</v>
      </c>
      <c r="DD98" s="10">
        <v>0</v>
      </c>
      <c r="DE98" s="10">
        <v>0</v>
      </c>
      <c r="DF98" s="10">
        <v>0</v>
      </c>
      <c r="DG98" s="10">
        <v>0</v>
      </c>
      <c r="DH98" s="10">
        <v>0</v>
      </c>
      <c r="DI98" s="81">
        <v>0</v>
      </c>
      <c r="DJ98" s="81">
        <v>0</v>
      </c>
      <c r="DK98" s="81">
        <v>1</v>
      </c>
      <c r="DL98" s="81">
        <v>0</v>
      </c>
      <c r="DM98" s="81">
        <v>0</v>
      </c>
      <c r="DN98" s="12">
        <v>0</v>
      </c>
      <c r="DO98" s="12">
        <v>0</v>
      </c>
      <c r="DP98" s="12">
        <v>3</v>
      </c>
      <c r="DQ98" s="12">
        <v>0</v>
      </c>
      <c r="DR98" s="12">
        <v>1</v>
      </c>
      <c r="DS98" s="12">
        <v>0</v>
      </c>
      <c r="DT98" s="12">
        <v>0</v>
      </c>
      <c r="DU98" s="12">
        <v>1</v>
      </c>
      <c r="DV98" s="12">
        <v>0</v>
      </c>
      <c r="DW98" s="12">
        <v>3</v>
      </c>
      <c r="DX98" s="12">
        <v>0</v>
      </c>
      <c r="DY98" s="12">
        <v>2</v>
      </c>
      <c r="DZ98" s="12">
        <v>0</v>
      </c>
      <c r="EA98" s="12">
        <v>0</v>
      </c>
      <c r="EB98" s="12">
        <v>1</v>
      </c>
      <c r="EC98" s="12">
        <v>0</v>
      </c>
      <c r="ED98" s="12">
        <v>1</v>
      </c>
      <c r="EE98" s="12">
        <v>1</v>
      </c>
      <c r="EF98" s="12">
        <v>0</v>
      </c>
      <c r="EG98" s="12">
        <v>0</v>
      </c>
      <c r="EH98" s="12">
        <v>0</v>
      </c>
      <c r="EI98" s="12">
        <v>0</v>
      </c>
      <c r="EJ98" s="12">
        <v>1</v>
      </c>
      <c r="EK98" s="12">
        <v>0</v>
      </c>
      <c r="EL98" s="12">
        <v>1</v>
      </c>
      <c r="EM98" s="12">
        <v>0</v>
      </c>
      <c r="EN98" s="12">
        <v>0</v>
      </c>
      <c r="EO98" s="12">
        <v>0</v>
      </c>
      <c r="EP98" s="12">
        <v>0</v>
      </c>
      <c r="EQ98" s="12">
        <v>1</v>
      </c>
      <c r="ER98" s="12">
        <v>1</v>
      </c>
      <c r="ES98" s="13">
        <v>3</v>
      </c>
      <c r="ET98" s="13">
        <v>2</v>
      </c>
      <c r="EU98" s="13">
        <v>0</v>
      </c>
      <c r="EV98" s="10">
        <v>0</v>
      </c>
      <c r="EW98" s="10">
        <v>0</v>
      </c>
      <c r="EX98" s="10">
        <v>2</v>
      </c>
      <c r="EY98" s="10">
        <v>1</v>
      </c>
      <c r="EZ98" s="10">
        <v>0</v>
      </c>
      <c r="FA98" s="10">
        <v>0</v>
      </c>
      <c r="FB98" s="10">
        <v>0</v>
      </c>
      <c r="FC98" s="10">
        <v>0</v>
      </c>
      <c r="FD98" s="10">
        <v>0</v>
      </c>
      <c r="FE98" s="10">
        <v>0</v>
      </c>
      <c r="FF98" s="10">
        <v>0</v>
      </c>
      <c r="FG98" s="10">
        <v>0</v>
      </c>
      <c r="FH98" s="10">
        <v>0</v>
      </c>
      <c r="FI98" s="10">
        <v>0</v>
      </c>
      <c r="FJ98" s="10">
        <v>0</v>
      </c>
      <c r="FK98" s="81">
        <v>0</v>
      </c>
      <c r="FL98" s="81">
        <v>0</v>
      </c>
      <c r="FM98" s="81">
        <v>0</v>
      </c>
      <c r="FN98" s="81">
        <v>0</v>
      </c>
      <c r="FO98" s="81">
        <v>1</v>
      </c>
      <c r="FP98" s="12">
        <v>2</v>
      </c>
      <c r="FQ98" s="12">
        <v>0</v>
      </c>
      <c r="FR98" s="12">
        <v>1</v>
      </c>
      <c r="FS98" s="12">
        <v>0</v>
      </c>
      <c r="FT98" s="12">
        <v>0</v>
      </c>
      <c r="FU98" s="12">
        <v>0</v>
      </c>
      <c r="FV98" s="12">
        <v>0</v>
      </c>
      <c r="FW98" s="12">
        <v>0</v>
      </c>
      <c r="FX98" s="12">
        <v>0</v>
      </c>
      <c r="FY98" s="12">
        <v>1</v>
      </c>
      <c r="FZ98" s="12">
        <v>0</v>
      </c>
      <c r="GA98" s="12">
        <v>2</v>
      </c>
      <c r="GB98" s="12">
        <v>0</v>
      </c>
      <c r="GC98" s="12">
        <v>0</v>
      </c>
      <c r="GD98" s="12">
        <v>0</v>
      </c>
      <c r="GE98" s="12">
        <v>0</v>
      </c>
      <c r="GF98" s="12">
        <v>0</v>
      </c>
      <c r="GG98" s="12">
        <v>2</v>
      </c>
      <c r="GH98" s="12">
        <v>1</v>
      </c>
      <c r="GI98" s="12">
        <v>0</v>
      </c>
      <c r="GJ98" s="12">
        <v>0</v>
      </c>
      <c r="GK98" s="12">
        <v>0</v>
      </c>
      <c r="GL98" s="12">
        <v>0</v>
      </c>
      <c r="GM98" s="12">
        <v>0</v>
      </c>
      <c r="GN98" s="12">
        <v>0</v>
      </c>
      <c r="GO98" s="12">
        <v>0</v>
      </c>
      <c r="GP98" s="12">
        <v>0</v>
      </c>
      <c r="GQ98" s="12">
        <v>0</v>
      </c>
      <c r="GR98" s="12">
        <v>0</v>
      </c>
      <c r="GS98" s="12">
        <v>0</v>
      </c>
      <c r="GT98" s="12">
        <v>0</v>
      </c>
      <c r="GU98" s="13">
        <v>11</v>
      </c>
      <c r="GV98" s="13">
        <v>17</v>
      </c>
      <c r="GW98" s="13">
        <v>2</v>
      </c>
      <c r="GX98" s="13">
        <v>0</v>
      </c>
      <c r="GY98" s="10">
        <v>0</v>
      </c>
      <c r="GZ98" s="10">
        <v>0</v>
      </c>
      <c r="HA98" s="10">
        <v>5</v>
      </c>
      <c r="HB98" s="10">
        <v>1</v>
      </c>
      <c r="HC98" s="10">
        <v>0</v>
      </c>
      <c r="HD98" s="10">
        <v>0</v>
      </c>
      <c r="HE98" s="10">
        <v>0</v>
      </c>
      <c r="HF98" s="10">
        <v>0</v>
      </c>
      <c r="HG98" s="10">
        <v>0</v>
      </c>
      <c r="HH98" s="10">
        <v>0</v>
      </c>
      <c r="HI98" s="10">
        <v>0</v>
      </c>
      <c r="HJ98" s="10">
        <v>0</v>
      </c>
      <c r="HK98" s="10">
        <v>1</v>
      </c>
      <c r="HL98" s="10">
        <v>0</v>
      </c>
      <c r="HM98" s="10">
        <v>0</v>
      </c>
      <c r="HN98" s="81">
        <v>0</v>
      </c>
      <c r="HO98" s="81">
        <v>1</v>
      </c>
      <c r="HP98" s="81">
        <v>0</v>
      </c>
      <c r="HQ98" s="81">
        <v>0</v>
      </c>
      <c r="HR98" s="81">
        <v>0</v>
      </c>
      <c r="HS98" s="12">
        <v>1</v>
      </c>
      <c r="HT98" s="12">
        <v>0</v>
      </c>
      <c r="HU98" s="12">
        <v>0</v>
      </c>
      <c r="HV98" s="12">
        <v>0</v>
      </c>
      <c r="HW98" s="12">
        <v>0</v>
      </c>
      <c r="HX98" s="12">
        <v>0</v>
      </c>
      <c r="HY98" s="12">
        <v>2</v>
      </c>
      <c r="HZ98" s="12">
        <v>0</v>
      </c>
      <c r="IA98" s="12">
        <v>0</v>
      </c>
      <c r="IB98" s="12">
        <v>0</v>
      </c>
      <c r="IC98" s="12">
        <v>0</v>
      </c>
      <c r="ID98" s="12">
        <v>1</v>
      </c>
      <c r="IE98" s="12">
        <v>0</v>
      </c>
      <c r="IF98" s="12">
        <v>0</v>
      </c>
      <c r="IG98" s="12">
        <v>16</v>
      </c>
      <c r="IH98" s="12">
        <v>0</v>
      </c>
      <c r="II98" s="12">
        <v>0</v>
      </c>
      <c r="IJ98" s="12">
        <v>0</v>
      </c>
      <c r="IK98" s="12">
        <v>3</v>
      </c>
      <c r="IL98" s="12">
        <v>0</v>
      </c>
      <c r="IM98" s="12">
        <v>0</v>
      </c>
      <c r="IN98" s="12">
        <v>0</v>
      </c>
      <c r="IO98" s="12">
        <v>0</v>
      </c>
      <c r="IP98" s="12">
        <v>0</v>
      </c>
      <c r="IQ98" s="12">
        <v>0</v>
      </c>
      <c r="IR98" s="12">
        <v>3</v>
      </c>
      <c r="IS98" s="12">
        <v>9</v>
      </c>
      <c r="IT98" s="12">
        <v>0</v>
      </c>
      <c r="IU98" s="12">
        <v>0</v>
      </c>
      <c r="IV98" s="12">
        <v>0</v>
      </c>
      <c r="IW98" s="12">
        <v>0</v>
      </c>
      <c r="IX98" s="11">
        <v>0</v>
      </c>
      <c r="IY98" s="11">
        <v>2000</v>
      </c>
      <c r="IZ98" s="11">
        <v>4000</v>
      </c>
      <c r="JA98" s="85" t="s">
        <v>602</v>
      </c>
      <c r="JB98" s="85">
        <v>1</v>
      </c>
      <c r="JC98" s="85" t="s">
        <v>361</v>
      </c>
      <c r="JD98" s="12">
        <v>12</v>
      </c>
      <c r="JE98" s="12">
        <v>12</v>
      </c>
      <c r="JF98" s="12">
        <v>12</v>
      </c>
      <c r="JG98" s="12">
        <v>8</v>
      </c>
      <c r="JH98" s="12">
        <v>12</v>
      </c>
      <c r="JI98" s="12">
        <v>8</v>
      </c>
      <c r="JJ98" s="13" t="s">
        <v>619</v>
      </c>
      <c r="JK98" s="13" t="s">
        <v>619</v>
      </c>
      <c r="JL98" s="13" t="s">
        <v>297</v>
      </c>
      <c r="JM98" s="89"/>
      <c r="JN98" s="89"/>
      <c r="JO98" s="89" t="s">
        <v>296</v>
      </c>
      <c r="JP98" s="89"/>
      <c r="JQ98" s="89"/>
      <c r="JR98" s="89" t="s">
        <v>296</v>
      </c>
      <c r="JS98" s="89" t="s">
        <v>619</v>
      </c>
      <c r="JT98" s="89" t="s">
        <v>619</v>
      </c>
      <c r="JU98" s="89" t="s">
        <v>296</v>
      </c>
      <c r="JV98" s="89"/>
      <c r="JW98" s="89"/>
      <c r="JX98" s="89" t="s">
        <v>297</v>
      </c>
      <c r="JY98" s="12" t="s">
        <v>619</v>
      </c>
      <c r="JZ98" s="12" t="s">
        <v>34</v>
      </c>
      <c r="KA98" s="12" t="s">
        <v>619</v>
      </c>
      <c r="KB98" s="12" t="s">
        <v>34</v>
      </c>
      <c r="KC98" s="12" t="s">
        <v>34</v>
      </c>
      <c r="KD98" s="12" t="s">
        <v>34</v>
      </c>
      <c r="KE98" s="12" t="s">
        <v>34</v>
      </c>
      <c r="KF98" s="12"/>
      <c r="KG98" s="12" t="s">
        <v>34</v>
      </c>
      <c r="KH98" s="12" t="s">
        <v>34</v>
      </c>
      <c r="KI98" s="12" t="s">
        <v>619</v>
      </c>
      <c r="KJ98" s="12" t="s">
        <v>34</v>
      </c>
      <c r="KK98" s="12" t="s">
        <v>34</v>
      </c>
      <c r="KL98" s="12" t="s">
        <v>34</v>
      </c>
      <c r="KM98" s="12" t="s">
        <v>619</v>
      </c>
      <c r="KN98" s="12" t="s">
        <v>34</v>
      </c>
      <c r="KO98" s="12" t="s">
        <v>619</v>
      </c>
      <c r="KP98" s="12" t="s">
        <v>34</v>
      </c>
      <c r="KQ98" s="12" t="s">
        <v>34</v>
      </c>
      <c r="KR98" s="12" t="s">
        <v>619</v>
      </c>
      <c r="KS98" s="12" t="s">
        <v>34</v>
      </c>
      <c r="KT98" s="12" t="s">
        <v>34</v>
      </c>
      <c r="KU98" s="12" t="s">
        <v>34</v>
      </c>
      <c r="KV98" s="12" t="s">
        <v>34</v>
      </c>
      <c r="KW98" s="12" t="s">
        <v>34</v>
      </c>
      <c r="KX98" s="12" t="s">
        <v>34</v>
      </c>
      <c r="KY98" s="12" t="s">
        <v>34</v>
      </c>
      <c r="KZ98" s="12" t="s">
        <v>34</v>
      </c>
      <c r="LA98" s="12" t="s">
        <v>34</v>
      </c>
      <c r="LB98" s="12" t="s">
        <v>34</v>
      </c>
      <c r="LC98" s="12" t="s">
        <v>34</v>
      </c>
      <c r="LD98" s="12" t="s">
        <v>34</v>
      </c>
      <c r="LE98" s="12" t="s">
        <v>619</v>
      </c>
      <c r="LF98" s="12" t="s">
        <v>34</v>
      </c>
      <c r="LG98" s="12" t="s">
        <v>34</v>
      </c>
      <c r="LH98" s="12" t="s">
        <v>34</v>
      </c>
      <c r="LI98" s="12" t="s">
        <v>619</v>
      </c>
      <c r="LJ98" s="12" t="s">
        <v>619</v>
      </c>
      <c r="LK98" s="12" t="s">
        <v>34</v>
      </c>
      <c r="LL98" s="13" t="s">
        <v>34</v>
      </c>
      <c r="LM98" s="13" t="s">
        <v>34</v>
      </c>
      <c r="LN98" s="13" t="s">
        <v>34</v>
      </c>
      <c r="LO98" s="13" t="s">
        <v>34</v>
      </c>
      <c r="LP98" s="90" t="s">
        <v>619</v>
      </c>
      <c r="LQ98" s="13" t="s">
        <v>34</v>
      </c>
      <c r="LR98" s="13" t="s">
        <v>34</v>
      </c>
      <c r="LS98" s="13"/>
      <c r="LT98" s="13" t="s">
        <v>34</v>
      </c>
      <c r="LU98" s="13" t="s">
        <v>619</v>
      </c>
      <c r="LV98" s="13" t="s">
        <v>34</v>
      </c>
      <c r="LW98" s="13" t="s">
        <v>34</v>
      </c>
      <c r="LX98" s="13" t="s">
        <v>34</v>
      </c>
      <c r="LY98" s="13" t="s">
        <v>34</v>
      </c>
      <c r="LZ98" s="13" t="s">
        <v>34</v>
      </c>
      <c r="MA98" s="13" t="s">
        <v>619</v>
      </c>
      <c r="MB98" s="13" t="s">
        <v>34</v>
      </c>
      <c r="MC98" s="13" t="s">
        <v>34</v>
      </c>
      <c r="MD98" s="13" t="s">
        <v>34</v>
      </c>
      <c r="ME98" s="13" t="s">
        <v>34</v>
      </c>
      <c r="MF98" s="13" t="s">
        <v>34</v>
      </c>
      <c r="MG98" s="13" t="s">
        <v>34</v>
      </c>
      <c r="MH98" s="13" t="s">
        <v>34</v>
      </c>
      <c r="MI98" s="13" t="s">
        <v>34</v>
      </c>
      <c r="MJ98" s="13" t="s">
        <v>34</v>
      </c>
      <c r="MK98" s="13" t="s">
        <v>34</v>
      </c>
      <c r="ML98" s="13" t="s">
        <v>34</v>
      </c>
      <c r="MM98" s="13" t="s">
        <v>34</v>
      </c>
      <c r="MN98" s="13" t="s">
        <v>34</v>
      </c>
      <c r="MO98" s="13" t="s">
        <v>619</v>
      </c>
      <c r="MP98" s="13" t="s">
        <v>34</v>
      </c>
      <c r="MQ98" s="13" t="s">
        <v>619</v>
      </c>
      <c r="MR98" s="13" t="s">
        <v>34</v>
      </c>
      <c r="MS98" s="13" t="s">
        <v>34</v>
      </c>
      <c r="MT98" s="13" t="s">
        <v>34</v>
      </c>
      <c r="MU98" s="13" t="s">
        <v>34</v>
      </c>
      <c r="MV98" s="13" t="s">
        <v>34</v>
      </c>
      <c r="MW98" s="13" t="s">
        <v>34</v>
      </c>
      <c r="MX98" s="13" t="s">
        <v>34</v>
      </c>
      <c r="MY98" s="28" t="s">
        <v>296</v>
      </c>
      <c r="MZ98" s="28" t="s">
        <v>296</v>
      </c>
      <c r="NA98" s="28" t="s">
        <v>297</v>
      </c>
      <c r="NB98" s="28" t="s">
        <v>296</v>
      </c>
      <c r="NC98" s="28" t="s">
        <v>296</v>
      </c>
      <c r="ND98" s="28" t="s">
        <v>296</v>
      </c>
      <c r="NE98" s="28" t="s">
        <v>296</v>
      </c>
      <c r="NF98" s="28" t="s">
        <v>296</v>
      </c>
      <c r="NG98" s="28" t="s">
        <v>297</v>
      </c>
      <c r="NH98" s="28" t="s">
        <v>297</v>
      </c>
      <c r="NI98" s="177" t="s">
        <v>297</v>
      </c>
      <c r="NJ98" s="177" t="s">
        <v>297</v>
      </c>
      <c r="NK98" s="177" t="s">
        <v>296</v>
      </c>
      <c r="NL98" s="177" t="s">
        <v>296</v>
      </c>
      <c r="NM98" s="177" t="s">
        <v>296</v>
      </c>
      <c r="NN98" s="177" t="s">
        <v>296</v>
      </c>
      <c r="NO98" s="177" t="s">
        <v>296</v>
      </c>
      <c r="NP98" s="177" t="s">
        <v>296</v>
      </c>
      <c r="NQ98" s="177" t="s">
        <v>296</v>
      </c>
      <c r="NR98" s="12" t="s">
        <v>34</v>
      </c>
      <c r="NS98" s="13" t="s">
        <v>34</v>
      </c>
    </row>
    <row r="99" spans="1:383" x14ac:dyDescent="0.25">
      <c r="A99" s="8" t="s">
        <v>238</v>
      </c>
      <c r="B99" s="9" t="s">
        <v>239</v>
      </c>
      <c r="C99" s="9">
        <v>1</v>
      </c>
      <c r="D99" s="9" t="s">
        <v>237</v>
      </c>
      <c r="E99" s="10">
        <v>39</v>
      </c>
      <c r="F99" s="10">
        <v>42</v>
      </c>
      <c r="G99" s="10">
        <v>34</v>
      </c>
      <c r="H99" s="10">
        <v>38</v>
      </c>
      <c r="I99" s="10">
        <v>37</v>
      </c>
      <c r="J99" s="11">
        <v>142</v>
      </c>
      <c r="K99" s="11">
        <v>159</v>
      </c>
      <c r="L99" s="11">
        <v>164</v>
      </c>
      <c r="M99" s="11">
        <v>196</v>
      </c>
      <c r="N99" s="11">
        <v>151</v>
      </c>
      <c r="O99" s="13">
        <v>4171</v>
      </c>
      <c r="P99" s="13">
        <v>4182</v>
      </c>
      <c r="Q99" s="13">
        <v>3279</v>
      </c>
      <c r="R99" s="13">
        <v>3225</v>
      </c>
      <c r="S99" s="13">
        <v>2913</v>
      </c>
      <c r="T99" s="12">
        <v>614</v>
      </c>
      <c r="U99" s="12">
        <v>834</v>
      </c>
      <c r="V99" s="12">
        <v>747</v>
      </c>
      <c r="W99" s="12">
        <v>935</v>
      </c>
      <c r="X99" s="12">
        <v>856</v>
      </c>
      <c r="Y99" s="12">
        <v>3.9</v>
      </c>
      <c r="Z99" s="12">
        <v>3.92</v>
      </c>
      <c r="AA99" s="12">
        <v>3.92</v>
      </c>
      <c r="AB99" s="13">
        <v>3.56</v>
      </c>
      <c r="AC99" s="13">
        <v>3.58</v>
      </c>
      <c r="AD99" s="13">
        <v>3.58</v>
      </c>
      <c r="AE99" s="35" t="s">
        <v>262</v>
      </c>
      <c r="AF99" s="35" t="s">
        <v>258</v>
      </c>
      <c r="AG99" s="35" t="s">
        <v>258</v>
      </c>
      <c r="AH99" s="38">
        <v>1</v>
      </c>
      <c r="AI99" s="38">
        <v>1</v>
      </c>
      <c r="AJ99" s="38">
        <v>1</v>
      </c>
      <c r="AK99" s="45" t="s">
        <v>288</v>
      </c>
      <c r="AL99" s="45" t="s">
        <v>34</v>
      </c>
      <c r="AM99" s="45" t="s">
        <v>34</v>
      </c>
      <c r="AN99" s="45" t="s">
        <v>293</v>
      </c>
      <c r="AO99" s="45" t="s">
        <v>34</v>
      </c>
      <c r="AP99" s="45" t="s">
        <v>292</v>
      </c>
      <c r="AQ99" s="53" t="s">
        <v>296</v>
      </c>
      <c r="AR99" s="56">
        <v>59</v>
      </c>
      <c r="AS99" s="57">
        <v>28</v>
      </c>
      <c r="AT99" s="56">
        <v>150</v>
      </c>
      <c r="AU99" s="57">
        <v>4740</v>
      </c>
      <c r="AV99" s="57">
        <v>1915</v>
      </c>
      <c r="AW99" s="57">
        <v>8489</v>
      </c>
      <c r="AX99" s="57">
        <v>0</v>
      </c>
      <c r="AY99" s="57">
        <v>0</v>
      </c>
      <c r="AZ99" s="57">
        <v>4</v>
      </c>
      <c r="BA99" s="57">
        <v>1521</v>
      </c>
      <c r="BB99" s="57">
        <v>1705</v>
      </c>
      <c r="BC99" s="57">
        <v>1612</v>
      </c>
      <c r="BD99" s="57">
        <v>247</v>
      </c>
      <c r="BE99" s="57">
        <v>727</v>
      </c>
      <c r="BF99" s="57">
        <v>941</v>
      </c>
      <c r="BG99" s="57">
        <v>2225</v>
      </c>
      <c r="BH99" s="57">
        <v>3084</v>
      </c>
      <c r="BI99" s="57">
        <v>2276</v>
      </c>
      <c r="BJ99" s="57" t="s">
        <v>297</v>
      </c>
      <c r="BK99" s="57">
        <v>8</v>
      </c>
      <c r="BL99" s="57">
        <v>0</v>
      </c>
      <c r="BM99" s="57">
        <v>0</v>
      </c>
      <c r="BN99" s="57">
        <v>310</v>
      </c>
      <c r="BO99" s="57">
        <v>631</v>
      </c>
      <c r="BP99" s="57">
        <v>132</v>
      </c>
      <c r="BQ99" s="76">
        <v>231</v>
      </c>
      <c r="BR99" s="76">
        <v>229</v>
      </c>
      <c r="BS99">
        <v>223</v>
      </c>
      <c r="BT99">
        <v>223</v>
      </c>
      <c r="BU99">
        <v>222</v>
      </c>
      <c r="BV99">
        <v>34430</v>
      </c>
      <c r="BW99">
        <v>33396</v>
      </c>
      <c r="BX99">
        <v>32035</v>
      </c>
      <c r="BY99">
        <v>30761</v>
      </c>
      <c r="BZ99">
        <v>29037</v>
      </c>
      <c r="CA99">
        <v>38</v>
      </c>
      <c r="CB99">
        <v>41</v>
      </c>
      <c r="CC99">
        <v>34</v>
      </c>
      <c r="CD99">
        <v>38</v>
      </c>
      <c r="CE99">
        <v>37</v>
      </c>
      <c r="CF99">
        <v>4785</v>
      </c>
      <c r="CG99">
        <v>5016</v>
      </c>
      <c r="CH99">
        <v>4026</v>
      </c>
      <c r="CI99">
        <v>4160</v>
      </c>
      <c r="CJ99">
        <v>3769</v>
      </c>
      <c r="CK99" s="10">
        <v>37</v>
      </c>
      <c r="CL99" s="10">
        <v>37.1</v>
      </c>
      <c r="CM99" s="10">
        <v>37.1</v>
      </c>
      <c r="CN99" s="11">
        <v>19.88</v>
      </c>
      <c r="CO99" s="11">
        <v>19.88</v>
      </c>
      <c r="CP99" s="11">
        <v>19.88</v>
      </c>
      <c r="CQ99" s="13">
        <v>2</v>
      </c>
      <c r="CR99" s="13">
        <v>2</v>
      </c>
      <c r="CS99" s="13">
        <v>1</v>
      </c>
      <c r="CT99" s="10">
        <v>0</v>
      </c>
      <c r="CU99" s="10">
        <v>0</v>
      </c>
      <c r="CV99" s="10">
        <v>7</v>
      </c>
      <c r="CW99" s="10">
        <v>15</v>
      </c>
      <c r="CX99" s="10">
        <v>2</v>
      </c>
      <c r="CY99" s="10">
        <v>0</v>
      </c>
      <c r="CZ99" s="10">
        <v>0</v>
      </c>
      <c r="DA99" s="10">
        <v>0</v>
      </c>
      <c r="DB99" s="10">
        <v>0</v>
      </c>
      <c r="DC99" s="10">
        <v>0</v>
      </c>
      <c r="DD99" s="10">
        <v>0</v>
      </c>
      <c r="DE99" s="10">
        <v>0</v>
      </c>
      <c r="DF99" s="10">
        <v>7</v>
      </c>
      <c r="DG99" s="10">
        <v>0</v>
      </c>
      <c r="DH99" s="10">
        <v>0</v>
      </c>
      <c r="DI99" s="81">
        <v>0</v>
      </c>
      <c r="DJ99" s="81">
        <v>0</v>
      </c>
      <c r="DK99" s="81">
        <v>1</v>
      </c>
      <c r="DL99" s="81">
        <v>0</v>
      </c>
      <c r="DM99" s="81">
        <v>0</v>
      </c>
      <c r="DN99" s="12">
        <v>2</v>
      </c>
      <c r="DO99" s="12">
        <v>0</v>
      </c>
      <c r="DP99" s="12">
        <v>0</v>
      </c>
      <c r="DQ99" s="12">
        <v>0</v>
      </c>
      <c r="DR99" s="12">
        <v>0</v>
      </c>
      <c r="DS99" s="12">
        <v>0</v>
      </c>
      <c r="DT99" s="12">
        <v>0</v>
      </c>
      <c r="DU99" s="12">
        <v>0</v>
      </c>
      <c r="DV99" s="12">
        <v>5</v>
      </c>
      <c r="DW99" s="12">
        <v>0</v>
      </c>
      <c r="DX99" s="12">
        <v>0</v>
      </c>
      <c r="DY99" s="12">
        <v>5</v>
      </c>
      <c r="DZ99" s="12">
        <v>0</v>
      </c>
      <c r="EA99" s="12">
        <v>0</v>
      </c>
      <c r="EB99" s="12">
        <v>1</v>
      </c>
      <c r="EC99" s="12">
        <v>0</v>
      </c>
      <c r="ED99" s="12">
        <v>0</v>
      </c>
      <c r="EE99" s="12">
        <v>0</v>
      </c>
      <c r="EF99" s="12">
        <v>0</v>
      </c>
      <c r="EG99" s="12">
        <v>0</v>
      </c>
      <c r="EH99" s="12">
        <v>0</v>
      </c>
      <c r="EI99" s="12">
        <v>0</v>
      </c>
      <c r="EJ99" s="12">
        <v>0</v>
      </c>
      <c r="EK99" s="12">
        <v>0</v>
      </c>
      <c r="EL99" s="12">
        <v>1</v>
      </c>
      <c r="EM99" s="12">
        <v>0</v>
      </c>
      <c r="EN99" s="12">
        <v>0</v>
      </c>
      <c r="EO99" s="12">
        <v>0</v>
      </c>
      <c r="EP99" s="12">
        <v>0</v>
      </c>
      <c r="EQ99" s="12">
        <v>0</v>
      </c>
      <c r="ER99" s="12">
        <v>0</v>
      </c>
      <c r="ES99" s="13">
        <v>1</v>
      </c>
      <c r="ET99" s="13">
        <v>0</v>
      </c>
      <c r="EU99" s="13">
        <v>0</v>
      </c>
      <c r="EV99" s="10">
        <v>0</v>
      </c>
      <c r="EW99" s="10">
        <v>0</v>
      </c>
      <c r="EX99" s="10">
        <v>3</v>
      </c>
      <c r="EY99" s="10">
        <v>8</v>
      </c>
      <c r="EZ99" s="10">
        <v>0</v>
      </c>
      <c r="FA99" s="10">
        <v>0</v>
      </c>
      <c r="FB99" s="10">
        <v>0</v>
      </c>
      <c r="FC99" s="10">
        <v>0</v>
      </c>
      <c r="FD99" s="10">
        <v>0</v>
      </c>
      <c r="FE99" s="10">
        <v>0</v>
      </c>
      <c r="FF99" s="10">
        <v>0</v>
      </c>
      <c r="FG99" s="10">
        <v>0</v>
      </c>
      <c r="FH99" s="10">
        <v>1</v>
      </c>
      <c r="FI99" s="10">
        <v>0</v>
      </c>
      <c r="FJ99" s="10">
        <v>3</v>
      </c>
      <c r="FK99" s="81">
        <v>0</v>
      </c>
      <c r="FL99" s="81">
        <v>0</v>
      </c>
      <c r="FM99" s="81">
        <v>0</v>
      </c>
      <c r="FN99" s="81">
        <v>0</v>
      </c>
      <c r="FO99" s="81">
        <v>0</v>
      </c>
      <c r="FP99" s="12">
        <v>4</v>
      </c>
      <c r="FQ99" s="12">
        <v>0</v>
      </c>
      <c r="FR99" s="12">
        <v>1</v>
      </c>
      <c r="FS99" s="12">
        <v>0</v>
      </c>
      <c r="FT99" s="12">
        <v>0</v>
      </c>
      <c r="FU99" s="12">
        <v>0</v>
      </c>
      <c r="FV99" s="12">
        <v>0</v>
      </c>
      <c r="FW99" s="12">
        <v>0</v>
      </c>
      <c r="FX99" s="12">
        <v>1</v>
      </c>
      <c r="FY99" s="12">
        <v>0</v>
      </c>
      <c r="FZ99" s="12">
        <v>0</v>
      </c>
      <c r="GA99" s="12">
        <v>2</v>
      </c>
      <c r="GB99" s="12">
        <v>0</v>
      </c>
      <c r="GC99" s="12">
        <v>0</v>
      </c>
      <c r="GD99" s="12">
        <v>0</v>
      </c>
      <c r="GE99" s="12">
        <v>0</v>
      </c>
      <c r="GF99" s="12">
        <v>0</v>
      </c>
      <c r="GG99" s="12">
        <v>0</v>
      </c>
      <c r="GH99" s="12">
        <v>1</v>
      </c>
      <c r="GI99" s="12">
        <v>0</v>
      </c>
      <c r="GJ99" s="12">
        <v>0</v>
      </c>
      <c r="GK99" s="12">
        <v>0</v>
      </c>
      <c r="GL99" s="12">
        <v>0</v>
      </c>
      <c r="GM99" s="12">
        <v>0</v>
      </c>
      <c r="GN99" s="12">
        <v>1</v>
      </c>
      <c r="GO99" s="12">
        <v>0</v>
      </c>
      <c r="GP99" s="12">
        <v>0</v>
      </c>
      <c r="GQ99" s="12">
        <v>0</v>
      </c>
      <c r="GR99" s="12">
        <v>0</v>
      </c>
      <c r="GS99" s="12">
        <v>3</v>
      </c>
      <c r="GT99" s="12">
        <v>0</v>
      </c>
      <c r="GU99" s="13">
        <v>28</v>
      </c>
      <c r="GV99" s="13">
        <v>14</v>
      </c>
      <c r="GW99" s="13">
        <v>11</v>
      </c>
      <c r="GX99" s="13">
        <v>0</v>
      </c>
      <c r="GY99" s="10">
        <v>0</v>
      </c>
      <c r="GZ99" s="10">
        <v>0</v>
      </c>
      <c r="HA99" s="10">
        <v>1</v>
      </c>
      <c r="HB99" s="10">
        <v>22</v>
      </c>
      <c r="HC99" s="10">
        <v>0</v>
      </c>
      <c r="HD99" s="10">
        <v>0</v>
      </c>
      <c r="HE99" s="10">
        <v>0</v>
      </c>
      <c r="HF99" s="10">
        <v>0</v>
      </c>
      <c r="HG99" s="10">
        <v>0</v>
      </c>
      <c r="HH99" s="10">
        <v>0</v>
      </c>
      <c r="HI99" s="10">
        <v>0</v>
      </c>
      <c r="HJ99" s="10">
        <v>0</v>
      </c>
      <c r="HK99" s="10">
        <v>11</v>
      </c>
      <c r="HL99" s="10">
        <v>0</v>
      </c>
      <c r="HM99" s="10">
        <v>0</v>
      </c>
      <c r="HN99" s="81">
        <v>0</v>
      </c>
      <c r="HO99" s="81">
        <v>0</v>
      </c>
      <c r="HP99" s="81">
        <v>5</v>
      </c>
      <c r="HQ99" s="81">
        <v>0</v>
      </c>
      <c r="HR99" s="81">
        <v>5</v>
      </c>
      <c r="HS99" s="12">
        <v>2</v>
      </c>
      <c r="HT99" s="12">
        <v>0</v>
      </c>
      <c r="HU99" s="12">
        <v>3</v>
      </c>
      <c r="HV99" s="12">
        <v>0</v>
      </c>
      <c r="HW99" s="12">
        <v>0</v>
      </c>
      <c r="HX99" s="12">
        <v>0</v>
      </c>
      <c r="HY99" s="12">
        <v>0</v>
      </c>
      <c r="HZ99" s="12">
        <v>0</v>
      </c>
      <c r="IA99" s="12">
        <v>0</v>
      </c>
      <c r="IB99" s="12">
        <v>1</v>
      </c>
      <c r="IC99" s="12">
        <v>0</v>
      </c>
      <c r="ID99" s="12">
        <v>6</v>
      </c>
      <c r="IE99" s="12">
        <v>0</v>
      </c>
      <c r="IF99" s="12">
        <v>0</v>
      </c>
      <c r="IG99" s="12">
        <v>0</v>
      </c>
      <c r="IH99" s="12">
        <v>0</v>
      </c>
      <c r="II99" s="12">
        <v>0</v>
      </c>
      <c r="IJ99" s="12">
        <v>0</v>
      </c>
      <c r="IK99" s="12">
        <v>0</v>
      </c>
      <c r="IL99" s="12">
        <v>0</v>
      </c>
      <c r="IM99" s="12">
        <v>0</v>
      </c>
      <c r="IN99" s="12">
        <v>0</v>
      </c>
      <c r="IO99" s="12">
        <v>0</v>
      </c>
      <c r="IP99" s="12">
        <v>0</v>
      </c>
      <c r="IQ99" s="12">
        <v>0</v>
      </c>
      <c r="IR99" s="12">
        <v>20</v>
      </c>
      <c r="IS99" s="12">
        <v>5</v>
      </c>
      <c r="IT99" s="12">
        <v>0</v>
      </c>
      <c r="IU99" s="12">
        <v>0</v>
      </c>
      <c r="IV99" s="12">
        <v>23</v>
      </c>
      <c r="IW99" s="12">
        <v>0</v>
      </c>
      <c r="IX99" s="11">
        <v>0</v>
      </c>
      <c r="IY99" s="11">
        <v>0</v>
      </c>
      <c r="IZ99" s="11">
        <v>10000</v>
      </c>
      <c r="JA99" s="85">
        <v>1</v>
      </c>
      <c r="JB99" s="85">
        <v>0</v>
      </c>
      <c r="JC99" s="85">
        <v>0</v>
      </c>
      <c r="JD99" s="12">
        <v>11</v>
      </c>
      <c r="JE99" s="12">
        <v>2</v>
      </c>
      <c r="JF99" s="12">
        <v>11</v>
      </c>
      <c r="JG99" s="12">
        <v>5</v>
      </c>
      <c r="JH99" s="12">
        <v>11</v>
      </c>
      <c r="JI99" s="12">
        <v>1</v>
      </c>
      <c r="JJ99" s="13" t="s">
        <v>620</v>
      </c>
      <c r="JK99" s="13" t="s">
        <v>619</v>
      </c>
      <c r="JL99" s="13" t="s">
        <v>296</v>
      </c>
      <c r="JM99" s="89"/>
      <c r="JN99" s="89"/>
      <c r="JO99" s="89" t="s">
        <v>296</v>
      </c>
      <c r="JP99" s="89"/>
      <c r="JQ99" s="89"/>
      <c r="JR99" s="89" t="s">
        <v>296</v>
      </c>
      <c r="JS99" s="89" t="s">
        <v>619</v>
      </c>
      <c r="JT99" s="89" t="s">
        <v>619</v>
      </c>
      <c r="JU99" s="89" t="s">
        <v>296</v>
      </c>
      <c r="JV99" s="89"/>
      <c r="JW99" s="89"/>
      <c r="JX99" s="89" t="s">
        <v>297</v>
      </c>
      <c r="JY99" s="12" t="s">
        <v>34</v>
      </c>
      <c r="JZ99" s="12" t="s">
        <v>34</v>
      </c>
      <c r="KA99" s="12" t="s">
        <v>34</v>
      </c>
      <c r="KB99" s="12" t="s">
        <v>34</v>
      </c>
      <c r="KC99" s="12" t="s">
        <v>34</v>
      </c>
      <c r="KD99" s="12" t="s">
        <v>34</v>
      </c>
      <c r="KE99" s="12" t="s">
        <v>34</v>
      </c>
      <c r="KF99" s="12"/>
      <c r="KG99" s="12" t="s">
        <v>34</v>
      </c>
      <c r="KH99" s="12" t="s">
        <v>34</v>
      </c>
      <c r="KI99" s="12" t="s">
        <v>34</v>
      </c>
      <c r="KJ99" s="12" t="s">
        <v>34</v>
      </c>
      <c r="KK99" s="12" t="s">
        <v>34</v>
      </c>
      <c r="KL99" s="12" t="s">
        <v>34</v>
      </c>
      <c r="KM99" s="12" t="s">
        <v>34</v>
      </c>
      <c r="KN99" s="12" t="s">
        <v>34</v>
      </c>
      <c r="KO99" s="12" t="s">
        <v>34</v>
      </c>
      <c r="KP99" s="12" t="s">
        <v>34</v>
      </c>
      <c r="KQ99" s="12" t="s">
        <v>34</v>
      </c>
      <c r="KR99" s="12" t="s">
        <v>34</v>
      </c>
      <c r="KS99" s="12" t="s">
        <v>34</v>
      </c>
      <c r="KT99" s="12" t="s">
        <v>34</v>
      </c>
      <c r="KU99" s="12" t="s">
        <v>34</v>
      </c>
      <c r="KV99" s="12" t="s">
        <v>34</v>
      </c>
      <c r="KW99" s="12" t="s">
        <v>34</v>
      </c>
      <c r="KX99" s="12" t="s">
        <v>34</v>
      </c>
      <c r="KY99" s="12" t="s">
        <v>34</v>
      </c>
      <c r="KZ99" s="12" t="s">
        <v>34</v>
      </c>
      <c r="LA99" s="12" t="s">
        <v>34</v>
      </c>
      <c r="LB99" s="12" t="s">
        <v>34</v>
      </c>
      <c r="LC99" s="12" t="s">
        <v>34</v>
      </c>
      <c r="LD99" s="12" t="s">
        <v>34</v>
      </c>
      <c r="LE99" s="12" t="s">
        <v>34</v>
      </c>
      <c r="LF99" s="12" t="s">
        <v>34</v>
      </c>
      <c r="LG99" s="12" t="s">
        <v>34</v>
      </c>
      <c r="LH99" s="12" t="s">
        <v>34</v>
      </c>
      <c r="LI99" s="12" t="s">
        <v>34</v>
      </c>
      <c r="LJ99" s="12" t="s">
        <v>34</v>
      </c>
      <c r="LK99" s="12" t="s">
        <v>34</v>
      </c>
      <c r="LL99" s="13" t="s">
        <v>34</v>
      </c>
      <c r="LM99" s="13" t="s">
        <v>34</v>
      </c>
      <c r="LN99" s="13" t="s">
        <v>619</v>
      </c>
      <c r="LO99" s="13" t="s">
        <v>34</v>
      </c>
      <c r="LP99" s="90" t="s">
        <v>34</v>
      </c>
      <c r="LQ99" s="13" t="s">
        <v>34</v>
      </c>
      <c r="LR99" s="13" t="s">
        <v>34</v>
      </c>
      <c r="LS99" s="13"/>
      <c r="LT99" s="13" t="s">
        <v>34</v>
      </c>
      <c r="LU99" s="13" t="s">
        <v>34</v>
      </c>
      <c r="LV99" s="13" t="s">
        <v>34</v>
      </c>
      <c r="LW99" s="13" t="s">
        <v>34</v>
      </c>
      <c r="LX99" s="13" t="s">
        <v>34</v>
      </c>
      <c r="LY99" s="13" t="s">
        <v>34</v>
      </c>
      <c r="LZ99" s="13" t="s">
        <v>34</v>
      </c>
      <c r="MA99" s="13" t="s">
        <v>34</v>
      </c>
      <c r="MB99" s="13" t="s">
        <v>34</v>
      </c>
      <c r="MC99" s="13" t="s">
        <v>619</v>
      </c>
      <c r="MD99" s="13" t="s">
        <v>619</v>
      </c>
      <c r="ME99" s="13" t="s">
        <v>34</v>
      </c>
      <c r="MF99" s="13" t="s">
        <v>34</v>
      </c>
      <c r="MG99" s="13" t="s">
        <v>34</v>
      </c>
      <c r="MH99" s="13" t="s">
        <v>34</v>
      </c>
      <c r="MI99" s="13" t="s">
        <v>34</v>
      </c>
      <c r="MJ99" s="13" t="s">
        <v>34</v>
      </c>
      <c r="MK99" s="13" t="s">
        <v>34</v>
      </c>
      <c r="ML99" s="13" t="s">
        <v>34</v>
      </c>
      <c r="MM99" s="13" t="s">
        <v>619</v>
      </c>
      <c r="MN99" s="13" t="s">
        <v>34</v>
      </c>
      <c r="MO99" s="13" t="s">
        <v>34</v>
      </c>
      <c r="MP99" s="13" t="s">
        <v>34</v>
      </c>
      <c r="MQ99" s="13" t="s">
        <v>619</v>
      </c>
      <c r="MR99" s="13" t="s">
        <v>34</v>
      </c>
      <c r="MS99" s="13" t="s">
        <v>34</v>
      </c>
      <c r="MT99" s="13" t="s">
        <v>34</v>
      </c>
      <c r="MU99" s="13" t="s">
        <v>34</v>
      </c>
      <c r="MV99" s="13" t="s">
        <v>34</v>
      </c>
      <c r="MW99" s="13" t="s">
        <v>34</v>
      </c>
      <c r="MX99" s="13" t="s">
        <v>34</v>
      </c>
      <c r="MY99" s="28" t="s">
        <v>296</v>
      </c>
      <c r="MZ99" s="28" t="s">
        <v>296</v>
      </c>
      <c r="NA99" s="28" t="s">
        <v>297</v>
      </c>
      <c r="NB99" s="28" t="s">
        <v>296</v>
      </c>
      <c r="NC99" s="28" t="s">
        <v>297</v>
      </c>
      <c r="ND99" s="28" t="s">
        <v>297</v>
      </c>
      <c r="NE99" s="28" t="s">
        <v>297</v>
      </c>
      <c r="NF99" s="28" t="s">
        <v>296</v>
      </c>
      <c r="NG99" s="28" t="s">
        <v>297</v>
      </c>
      <c r="NH99" s="28" t="s">
        <v>297</v>
      </c>
      <c r="NI99" s="177" t="s">
        <v>297</v>
      </c>
      <c r="NJ99" s="177" t="s">
        <v>297</v>
      </c>
      <c r="NK99" s="177" t="s">
        <v>297</v>
      </c>
      <c r="NL99" s="177" t="s">
        <v>297</v>
      </c>
      <c r="NM99" s="177" t="s">
        <v>297</v>
      </c>
      <c r="NN99" s="177" t="s">
        <v>296</v>
      </c>
      <c r="NO99" s="177" t="s">
        <v>296</v>
      </c>
      <c r="NP99" s="177" t="s">
        <v>296</v>
      </c>
      <c r="NQ99" s="177" t="s">
        <v>296</v>
      </c>
      <c r="NR99" s="12" t="s">
        <v>34</v>
      </c>
      <c r="NS99" s="13" t="s">
        <v>34</v>
      </c>
    </row>
    <row r="100" spans="1:383" x14ac:dyDescent="0.25">
      <c r="A100" s="8" t="s">
        <v>240</v>
      </c>
      <c r="B100" s="9" t="s">
        <v>241</v>
      </c>
      <c r="C100" s="9">
        <v>1</v>
      </c>
      <c r="D100" s="9" t="s">
        <v>237</v>
      </c>
      <c r="E100" s="10">
        <v>7</v>
      </c>
      <c r="F100" s="10">
        <v>7</v>
      </c>
      <c r="G100" s="10">
        <v>7</v>
      </c>
      <c r="H100" s="10">
        <v>3</v>
      </c>
      <c r="I100" s="10">
        <v>6</v>
      </c>
      <c r="J100" s="11">
        <v>84</v>
      </c>
      <c r="K100" s="11">
        <v>107</v>
      </c>
      <c r="L100" s="11">
        <v>127</v>
      </c>
      <c r="M100" s="11">
        <v>40</v>
      </c>
      <c r="N100" s="11">
        <v>56</v>
      </c>
      <c r="O100" s="13">
        <v>1506</v>
      </c>
      <c r="P100" s="13">
        <v>1700</v>
      </c>
      <c r="Q100" s="13">
        <v>1958</v>
      </c>
      <c r="R100" s="13">
        <v>499</v>
      </c>
      <c r="S100" s="13">
        <v>1230</v>
      </c>
      <c r="T100" s="12">
        <v>125</v>
      </c>
      <c r="U100" s="12">
        <v>136</v>
      </c>
      <c r="V100" s="12">
        <v>120</v>
      </c>
      <c r="W100" s="12">
        <v>291</v>
      </c>
      <c r="X100" s="12">
        <v>48</v>
      </c>
      <c r="Y100" s="12">
        <v>3.14</v>
      </c>
      <c r="Z100" s="12">
        <v>3.15</v>
      </c>
      <c r="AA100" s="12">
        <v>3.15</v>
      </c>
      <c r="AB100" s="13">
        <v>2.8</v>
      </c>
      <c r="AC100" s="13">
        <v>2.81</v>
      </c>
      <c r="AD100" s="13">
        <v>2.81</v>
      </c>
      <c r="AE100" s="35" t="s">
        <v>258</v>
      </c>
      <c r="AF100" s="35" t="s">
        <v>258</v>
      </c>
      <c r="AG100" s="35" t="s">
        <v>258</v>
      </c>
      <c r="AH100" s="38">
        <v>1</v>
      </c>
      <c r="AI100" s="38">
        <v>1</v>
      </c>
      <c r="AJ100" s="38">
        <v>1</v>
      </c>
      <c r="AK100" s="45" t="s">
        <v>34</v>
      </c>
      <c r="AL100" s="45" t="s">
        <v>34</v>
      </c>
      <c r="AM100" s="45" t="s">
        <v>34</v>
      </c>
      <c r="AN100" s="45" t="s">
        <v>34</v>
      </c>
      <c r="AO100" s="45" t="s">
        <v>34</v>
      </c>
      <c r="AP100" s="45" t="s">
        <v>34</v>
      </c>
      <c r="AQ100" s="53" t="s">
        <v>297</v>
      </c>
      <c r="AR100" s="56">
        <v>0</v>
      </c>
      <c r="AS100" s="57">
        <v>0</v>
      </c>
      <c r="AT100" s="56">
        <v>0</v>
      </c>
      <c r="AU100" s="57">
        <v>0</v>
      </c>
      <c r="AV100" s="57">
        <v>0</v>
      </c>
      <c r="AW100" s="57">
        <v>0</v>
      </c>
      <c r="AX100" s="57">
        <v>0</v>
      </c>
      <c r="AY100" s="57">
        <v>0</v>
      </c>
      <c r="AZ100" s="57">
        <v>0</v>
      </c>
      <c r="BA100" s="57">
        <v>0</v>
      </c>
      <c r="BB100" s="57">
        <v>0</v>
      </c>
      <c r="BC100" s="57">
        <v>0</v>
      </c>
      <c r="BD100" s="57">
        <v>0</v>
      </c>
      <c r="BE100" s="57">
        <v>0</v>
      </c>
      <c r="BF100" s="57">
        <v>0</v>
      </c>
      <c r="BG100" s="57">
        <v>0</v>
      </c>
      <c r="BH100" s="57">
        <v>0</v>
      </c>
      <c r="BI100" s="57">
        <v>0</v>
      </c>
      <c r="BJ100" s="57" t="s">
        <v>297</v>
      </c>
      <c r="BK100" s="57">
        <v>1</v>
      </c>
      <c r="BL100" s="57">
        <v>0</v>
      </c>
      <c r="BM100" s="57">
        <v>0</v>
      </c>
      <c r="BN100" s="57">
        <v>1278</v>
      </c>
      <c r="BO100" s="57">
        <v>1278</v>
      </c>
      <c r="BP100" s="57">
        <v>150</v>
      </c>
      <c r="BQ100" s="76">
        <v>163</v>
      </c>
      <c r="BR100" s="76">
        <v>165</v>
      </c>
      <c r="BS100">
        <v>169</v>
      </c>
      <c r="BT100">
        <v>169</v>
      </c>
      <c r="BU100">
        <v>169</v>
      </c>
      <c r="BV100">
        <v>41123</v>
      </c>
      <c r="BW100">
        <v>41159</v>
      </c>
      <c r="BX100">
        <v>41412</v>
      </c>
      <c r="BY100">
        <v>42680</v>
      </c>
      <c r="BZ100">
        <v>42806</v>
      </c>
      <c r="CA100">
        <v>7</v>
      </c>
      <c r="CB100">
        <v>8</v>
      </c>
      <c r="CC100">
        <v>10</v>
      </c>
      <c r="CD100">
        <v>10</v>
      </c>
      <c r="CE100">
        <v>6</v>
      </c>
      <c r="CF100">
        <v>1631</v>
      </c>
      <c r="CG100">
        <v>1836</v>
      </c>
      <c r="CH100">
        <v>2078</v>
      </c>
      <c r="CI100">
        <v>790</v>
      </c>
      <c r="CJ100">
        <v>1278</v>
      </c>
      <c r="CK100" s="10">
        <v>20.65</v>
      </c>
      <c r="CL100" s="10">
        <v>20.75</v>
      </c>
      <c r="CM100" s="10">
        <v>20.75</v>
      </c>
      <c r="CN100" s="11">
        <v>12.1</v>
      </c>
      <c r="CO100" s="11">
        <v>12.09</v>
      </c>
      <c r="CP100" s="11">
        <v>12.09</v>
      </c>
      <c r="CQ100" s="13">
        <v>0</v>
      </c>
      <c r="CR100" s="13">
        <v>0</v>
      </c>
      <c r="CS100" s="13">
        <v>0</v>
      </c>
      <c r="CT100" s="10">
        <v>0</v>
      </c>
      <c r="CU100" s="10">
        <v>0</v>
      </c>
      <c r="CV100" s="10">
        <v>0</v>
      </c>
      <c r="CW100" s="10">
        <v>0</v>
      </c>
      <c r="CX100" s="10">
        <v>0</v>
      </c>
      <c r="CY100" s="10">
        <v>0</v>
      </c>
      <c r="CZ100" s="10">
        <v>0</v>
      </c>
      <c r="DA100" s="10">
        <v>0</v>
      </c>
      <c r="DB100" s="10">
        <v>0</v>
      </c>
      <c r="DC100" s="10">
        <v>0</v>
      </c>
      <c r="DD100" s="10">
        <v>0</v>
      </c>
      <c r="DE100" s="10">
        <v>0</v>
      </c>
      <c r="DF100" s="10">
        <v>0</v>
      </c>
      <c r="DG100" s="10">
        <v>0</v>
      </c>
      <c r="DH100" s="10">
        <v>0</v>
      </c>
      <c r="DI100" s="81">
        <v>0</v>
      </c>
      <c r="DJ100" s="81">
        <v>0</v>
      </c>
      <c r="DK100" s="81">
        <v>0</v>
      </c>
      <c r="DL100" s="81">
        <v>0</v>
      </c>
      <c r="DM100" s="81">
        <v>0</v>
      </c>
      <c r="DN100" s="12">
        <v>0</v>
      </c>
      <c r="DO100" s="12">
        <v>0</v>
      </c>
      <c r="DP100" s="12">
        <v>0</v>
      </c>
      <c r="DQ100" s="12">
        <v>0</v>
      </c>
      <c r="DR100" s="12">
        <v>0</v>
      </c>
      <c r="DS100" s="12">
        <v>0</v>
      </c>
      <c r="DT100" s="12">
        <v>0</v>
      </c>
      <c r="DU100" s="12">
        <v>0</v>
      </c>
      <c r="DV100" s="12">
        <v>0</v>
      </c>
      <c r="DW100" s="12">
        <v>0</v>
      </c>
      <c r="DX100" s="12">
        <v>0</v>
      </c>
      <c r="DY100" s="12">
        <v>0</v>
      </c>
      <c r="DZ100" s="12">
        <v>0</v>
      </c>
      <c r="EA100" s="12">
        <v>0</v>
      </c>
      <c r="EB100" s="12">
        <v>0</v>
      </c>
      <c r="EC100" s="12">
        <v>0</v>
      </c>
      <c r="ED100" s="12">
        <v>0</v>
      </c>
      <c r="EE100" s="12">
        <v>0</v>
      </c>
      <c r="EF100" s="12">
        <v>0</v>
      </c>
      <c r="EG100" s="12">
        <v>0</v>
      </c>
      <c r="EH100" s="12">
        <v>0</v>
      </c>
      <c r="EI100" s="12">
        <v>0</v>
      </c>
      <c r="EJ100" s="12">
        <v>0</v>
      </c>
      <c r="EK100" s="12">
        <v>0</v>
      </c>
      <c r="EL100" s="12">
        <v>0</v>
      </c>
      <c r="EM100" s="12">
        <v>0</v>
      </c>
      <c r="EN100" s="12">
        <v>0</v>
      </c>
      <c r="EO100" s="12">
        <v>0</v>
      </c>
      <c r="EP100" s="12">
        <v>0</v>
      </c>
      <c r="EQ100" s="12">
        <v>0</v>
      </c>
      <c r="ER100" s="12">
        <v>0</v>
      </c>
      <c r="ES100" s="13">
        <v>0</v>
      </c>
      <c r="ET100" s="13">
        <v>0</v>
      </c>
      <c r="EU100" s="13">
        <v>0</v>
      </c>
      <c r="EV100" s="10">
        <v>0</v>
      </c>
      <c r="EW100" s="10">
        <v>0</v>
      </c>
      <c r="EX100" s="10">
        <v>0</v>
      </c>
      <c r="EY100" s="10">
        <v>0</v>
      </c>
      <c r="EZ100" s="10">
        <v>0</v>
      </c>
      <c r="FA100" s="10">
        <v>0</v>
      </c>
      <c r="FB100" s="10">
        <v>0</v>
      </c>
      <c r="FC100" s="10">
        <v>0</v>
      </c>
      <c r="FD100" s="10">
        <v>0</v>
      </c>
      <c r="FE100" s="10">
        <v>0</v>
      </c>
      <c r="FF100" s="10">
        <v>0</v>
      </c>
      <c r="FG100" s="10">
        <v>0</v>
      </c>
      <c r="FH100" s="10">
        <v>0</v>
      </c>
      <c r="FI100" s="10">
        <v>0</v>
      </c>
      <c r="FJ100" s="10">
        <v>0</v>
      </c>
      <c r="FK100" s="81">
        <v>0</v>
      </c>
      <c r="FL100" s="81">
        <v>0</v>
      </c>
      <c r="FM100" s="81">
        <v>0</v>
      </c>
      <c r="FN100" s="81">
        <v>0</v>
      </c>
      <c r="FO100" s="81">
        <v>0</v>
      </c>
      <c r="FP100" s="12">
        <v>0</v>
      </c>
      <c r="FQ100" s="12">
        <v>0</v>
      </c>
      <c r="FR100" s="12">
        <v>0</v>
      </c>
      <c r="FS100" s="12">
        <v>0</v>
      </c>
      <c r="FT100" s="12">
        <v>0</v>
      </c>
      <c r="FU100" s="12">
        <v>0</v>
      </c>
      <c r="FV100" s="12">
        <v>0</v>
      </c>
      <c r="FW100" s="12">
        <v>0</v>
      </c>
      <c r="FX100" s="12">
        <v>0</v>
      </c>
      <c r="FY100" s="12">
        <v>0</v>
      </c>
      <c r="FZ100" s="12">
        <v>0</v>
      </c>
      <c r="GA100" s="12">
        <v>0</v>
      </c>
      <c r="GB100" s="12">
        <v>0</v>
      </c>
      <c r="GC100" s="12">
        <v>0</v>
      </c>
      <c r="GD100" s="12">
        <v>0</v>
      </c>
      <c r="GE100" s="12">
        <v>0</v>
      </c>
      <c r="GF100" s="12">
        <v>0</v>
      </c>
      <c r="GG100" s="12">
        <v>0</v>
      </c>
      <c r="GH100" s="12">
        <v>0</v>
      </c>
      <c r="GI100" s="12">
        <v>0</v>
      </c>
      <c r="GJ100" s="12">
        <v>0</v>
      </c>
      <c r="GK100" s="12">
        <v>0</v>
      </c>
      <c r="GL100" s="12">
        <v>0</v>
      </c>
      <c r="GM100" s="12">
        <v>0</v>
      </c>
      <c r="GN100" s="12">
        <v>0</v>
      </c>
      <c r="GO100" s="12">
        <v>0</v>
      </c>
      <c r="GP100" s="12">
        <v>0</v>
      </c>
      <c r="GQ100" s="12">
        <v>0</v>
      </c>
      <c r="GR100" s="12">
        <v>0</v>
      </c>
      <c r="GS100" s="12">
        <v>0</v>
      </c>
      <c r="GT100" s="12">
        <v>0</v>
      </c>
      <c r="GU100" s="13">
        <v>0</v>
      </c>
      <c r="GV100" s="13">
        <v>0</v>
      </c>
      <c r="GW100" s="13">
        <v>0</v>
      </c>
      <c r="GX100" s="13">
        <v>0</v>
      </c>
      <c r="GY100" s="10">
        <v>0</v>
      </c>
      <c r="GZ100" s="10">
        <v>0</v>
      </c>
      <c r="HA100" s="10">
        <v>0</v>
      </c>
      <c r="HB100" s="10">
        <v>0</v>
      </c>
      <c r="HC100" s="10">
        <v>0</v>
      </c>
      <c r="HD100" s="10">
        <v>0</v>
      </c>
      <c r="HE100" s="10">
        <v>0</v>
      </c>
      <c r="HF100" s="10">
        <v>0</v>
      </c>
      <c r="HG100" s="10">
        <v>0</v>
      </c>
      <c r="HH100" s="10">
        <v>0</v>
      </c>
      <c r="HI100" s="10">
        <v>0</v>
      </c>
      <c r="HJ100" s="10">
        <v>0</v>
      </c>
      <c r="HK100" s="10">
        <v>0</v>
      </c>
      <c r="HL100" s="10">
        <v>0</v>
      </c>
      <c r="HM100" s="10">
        <v>0</v>
      </c>
      <c r="HN100" s="81">
        <v>0</v>
      </c>
      <c r="HO100" s="81">
        <v>0</v>
      </c>
      <c r="HP100" s="81">
        <v>0</v>
      </c>
      <c r="HQ100" s="81">
        <v>0</v>
      </c>
      <c r="HR100" s="81">
        <v>0</v>
      </c>
      <c r="HS100" s="12">
        <v>0</v>
      </c>
      <c r="HT100" s="12">
        <v>0</v>
      </c>
      <c r="HU100" s="12">
        <v>0</v>
      </c>
      <c r="HV100" s="12">
        <v>0</v>
      </c>
      <c r="HW100" s="12">
        <v>0</v>
      </c>
      <c r="HX100" s="12">
        <v>0</v>
      </c>
      <c r="HY100" s="12">
        <v>0</v>
      </c>
      <c r="HZ100" s="12">
        <v>0</v>
      </c>
      <c r="IA100" s="12">
        <v>0</v>
      </c>
      <c r="IB100" s="12">
        <v>0</v>
      </c>
      <c r="IC100" s="12">
        <v>0</v>
      </c>
      <c r="ID100" s="12">
        <v>0</v>
      </c>
      <c r="IE100" s="12">
        <v>0</v>
      </c>
      <c r="IF100" s="12">
        <v>0</v>
      </c>
      <c r="IG100" s="12">
        <v>0</v>
      </c>
      <c r="IH100" s="12">
        <v>0</v>
      </c>
      <c r="II100" s="12">
        <v>0</v>
      </c>
      <c r="IJ100" s="12">
        <v>0</v>
      </c>
      <c r="IK100" s="12">
        <v>0</v>
      </c>
      <c r="IL100" s="12">
        <v>0</v>
      </c>
      <c r="IM100" s="12">
        <v>0</v>
      </c>
      <c r="IN100" s="12">
        <v>0</v>
      </c>
      <c r="IO100" s="12">
        <v>0</v>
      </c>
      <c r="IP100" s="12">
        <v>0</v>
      </c>
      <c r="IQ100" s="12">
        <v>0</v>
      </c>
      <c r="IR100" s="12">
        <v>0</v>
      </c>
      <c r="IS100" s="12">
        <v>0</v>
      </c>
      <c r="IT100" s="12">
        <v>0</v>
      </c>
      <c r="IU100" s="12">
        <v>0</v>
      </c>
      <c r="IV100" s="12">
        <v>0</v>
      </c>
      <c r="IW100" s="12">
        <v>0</v>
      </c>
      <c r="IX100" s="11">
        <v>0</v>
      </c>
      <c r="IY100" s="11">
        <v>4000</v>
      </c>
      <c r="IZ100" s="11">
        <v>4000</v>
      </c>
      <c r="JA100" s="85" t="s">
        <v>602</v>
      </c>
      <c r="JB100" s="85" t="s">
        <v>602</v>
      </c>
      <c r="JC100" s="85">
        <v>0</v>
      </c>
      <c r="JD100" s="12">
        <v>10</v>
      </c>
      <c r="JE100" s="12">
        <v>1</v>
      </c>
      <c r="JF100" s="12">
        <v>10</v>
      </c>
      <c r="JG100" s="12">
        <v>0</v>
      </c>
      <c r="JH100" s="12">
        <v>10</v>
      </c>
      <c r="JI100" s="12">
        <v>4</v>
      </c>
      <c r="JJ100" s="13" t="s">
        <v>619</v>
      </c>
      <c r="JK100" s="13" t="s">
        <v>620</v>
      </c>
      <c r="JL100" s="13" t="s">
        <v>297</v>
      </c>
      <c r="JM100" s="89"/>
      <c r="JN100" s="89"/>
      <c r="JO100" s="89" t="s">
        <v>296</v>
      </c>
      <c r="JP100" s="89"/>
      <c r="JQ100" s="89"/>
      <c r="JR100" s="89" t="s">
        <v>296</v>
      </c>
      <c r="JS100" s="89" t="s">
        <v>620</v>
      </c>
      <c r="JT100" s="89" t="s">
        <v>619</v>
      </c>
      <c r="JU100" s="89" t="s">
        <v>296</v>
      </c>
      <c r="JV100" s="89"/>
      <c r="JW100" s="89"/>
      <c r="JX100" s="89" t="s">
        <v>297</v>
      </c>
      <c r="JY100" s="12" t="s">
        <v>34</v>
      </c>
      <c r="JZ100" s="12" t="s">
        <v>34</v>
      </c>
      <c r="KA100" s="12" t="s">
        <v>34</v>
      </c>
      <c r="KB100" s="12" t="s">
        <v>34</v>
      </c>
      <c r="KC100" s="12" t="s">
        <v>619</v>
      </c>
      <c r="KD100" s="12" t="s">
        <v>34</v>
      </c>
      <c r="KE100" s="12" t="s">
        <v>34</v>
      </c>
      <c r="KF100" s="12"/>
      <c r="KG100" s="12" t="s">
        <v>34</v>
      </c>
      <c r="KH100" s="12" t="s">
        <v>34</v>
      </c>
      <c r="KI100" s="12" t="s">
        <v>34</v>
      </c>
      <c r="KJ100" s="12" t="s">
        <v>34</v>
      </c>
      <c r="KK100" s="12" t="s">
        <v>34</v>
      </c>
      <c r="KL100" s="12" t="s">
        <v>34</v>
      </c>
      <c r="KM100" s="12" t="s">
        <v>619</v>
      </c>
      <c r="KN100" s="12" t="s">
        <v>34</v>
      </c>
      <c r="KO100" s="12" t="s">
        <v>34</v>
      </c>
      <c r="KP100" s="12" t="s">
        <v>34</v>
      </c>
      <c r="KQ100" s="12" t="s">
        <v>34</v>
      </c>
      <c r="KR100" s="12" t="s">
        <v>34</v>
      </c>
      <c r="KS100" s="12" t="s">
        <v>34</v>
      </c>
      <c r="KT100" s="12" t="s">
        <v>34</v>
      </c>
      <c r="KU100" s="12" t="s">
        <v>34</v>
      </c>
      <c r="KV100" s="12" t="s">
        <v>34</v>
      </c>
      <c r="KW100" s="12" t="s">
        <v>34</v>
      </c>
      <c r="KX100" s="12" t="s">
        <v>34</v>
      </c>
      <c r="KY100" s="12" t="s">
        <v>34</v>
      </c>
      <c r="KZ100" s="12" t="s">
        <v>34</v>
      </c>
      <c r="LA100" s="12" t="s">
        <v>34</v>
      </c>
      <c r="LB100" s="12" t="s">
        <v>619</v>
      </c>
      <c r="LC100" s="12" t="s">
        <v>34</v>
      </c>
      <c r="LD100" s="12" t="s">
        <v>34</v>
      </c>
      <c r="LE100" s="12" t="s">
        <v>34</v>
      </c>
      <c r="LF100" s="12" t="s">
        <v>34</v>
      </c>
      <c r="LG100" s="12" t="s">
        <v>34</v>
      </c>
      <c r="LH100" s="12" t="s">
        <v>34</v>
      </c>
      <c r="LI100" s="12" t="s">
        <v>34</v>
      </c>
      <c r="LJ100" s="12" t="s">
        <v>34</v>
      </c>
      <c r="LK100" s="12" t="s">
        <v>34</v>
      </c>
      <c r="LL100" s="13" t="s">
        <v>34</v>
      </c>
      <c r="LM100" s="13" t="s">
        <v>34</v>
      </c>
      <c r="LN100" s="13" t="s">
        <v>34</v>
      </c>
      <c r="LO100" s="13" t="s">
        <v>34</v>
      </c>
      <c r="LP100" s="90" t="s">
        <v>34</v>
      </c>
      <c r="LQ100" s="13" t="s">
        <v>34</v>
      </c>
      <c r="LR100" s="13" t="s">
        <v>34</v>
      </c>
      <c r="LS100" s="13"/>
      <c r="LT100" s="13" t="s">
        <v>34</v>
      </c>
      <c r="LU100" s="13" t="s">
        <v>34</v>
      </c>
      <c r="LV100" s="13" t="s">
        <v>34</v>
      </c>
      <c r="LW100" s="13" t="s">
        <v>34</v>
      </c>
      <c r="LX100" s="13" t="s">
        <v>34</v>
      </c>
      <c r="LY100" s="13" t="s">
        <v>34</v>
      </c>
      <c r="LZ100" s="13" t="s">
        <v>34</v>
      </c>
      <c r="MA100" s="13" t="s">
        <v>34</v>
      </c>
      <c r="MB100" s="13" t="s">
        <v>34</v>
      </c>
      <c r="MC100" s="13" t="s">
        <v>34</v>
      </c>
      <c r="MD100" s="13" t="s">
        <v>34</v>
      </c>
      <c r="ME100" s="13" t="s">
        <v>34</v>
      </c>
      <c r="MF100" s="13" t="s">
        <v>34</v>
      </c>
      <c r="MG100" s="13" t="s">
        <v>34</v>
      </c>
      <c r="MH100" s="13" t="s">
        <v>34</v>
      </c>
      <c r="MI100" s="13" t="s">
        <v>34</v>
      </c>
      <c r="MJ100" s="13" t="s">
        <v>34</v>
      </c>
      <c r="MK100" s="13" t="s">
        <v>34</v>
      </c>
      <c r="ML100" s="13" t="s">
        <v>34</v>
      </c>
      <c r="MM100" s="13" t="s">
        <v>34</v>
      </c>
      <c r="MN100" s="13" t="s">
        <v>34</v>
      </c>
      <c r="MO100" s="13" t="s">
        <v>34</v>
      </c>
      <c r="MP100" s="13" t="s">
        <v>34</v>
      </c>
      <c r="MQ100" s="13" t="s">
        <v>34</v>
      </c>
      <c r="MR100" s="13" t="s">
        <v>34</v>
      </c>
      <c r="MS100" s="13" t="s">
        <v>34</v>
      </c>
      <c r="MT100" s="13" t="s">
        <v>34</v>
      </c>
      <c r="MU100" s="13" t="s">
        <v>34</v>
      </c>
      <c r="MV100" s="13" t="s">
        <v>34</v>
      </c>
      <c r="MW100" s="13" t="s">
        <v>34</v>
      </c>
      <c r="MX100" s="13" t="s">
        <v>34</v>
      </c>
      <c r="MY100" s="28" t="s">
        <v>296</v>
      </c>
      <c r="MZ100" s="28" t="s">
        <v>296</v>
      </c>
      <c r="NA100" s="28" t="s">
        <v>296</v>
      </c>
      <c r="NB100" s="28" t="s">
        <v>296</v>
      </c>
      <c r="NC100" s="28" t="s">
        <v>296</v>
      </c>
      <c r="ND100" s="28" t="s">
        <v>296</v>
      </c>
      <c r="NE100" s="28" t="s">
        <v>297</v>
      </c>
      <c r="NF100" s="28" t="s">
        <v>297</v>
      </c>
      <c r="NG100" s="28" t="s">
        <v>297</v>
      </c>
      <c r="NH100" s="28" t="s">
        <v>297</v>
      </c>
      <c r="NI100" s="177" t="s">
        <v>296</v>
      </c>
      <c r="NJ100" s="177" t="s">
        <v>297</v>
      </c>
      <c r="NK100" s="177" t="s">
        <v>296</v>
      </c>
      <c r="NL100" s="177" t="s">
        <v>297</v>
      </c>
      <c r="NM100" s="177" t="s">
        <v>296</v>
      </c>
      <c r="NN100" s="177" t="s">
        <v>296</v>
      </c>
      <c r="NO100" s="177" t="s">
        <v>296</v>
      </c>
      <c r="NP100" s="177" t="s">
        <v>296</v>
      </c>
      <c r="NQ100" s="177" t="s">
        <v>296</v>
      </c>
      <c r="NR100" s="12" t="s">
        <v>34</v>
      </c>
      <c r="NS100" s="13" t="s">
        <v>34</v>
      </c>
    </row>
    <row r="101" spans="1:383" x14ac:dyDescent="0.25">
      <c r="A101" s="8" t="s">
        <v>242</v>
      </c>
      <c r="B101" s="9" t="s">
        <v>243</v>
      </c>
      <c r="C101" s="9">
        <v>1</v>
      </c>
      <c r="D101" s="9" t="s">
        <v>237</v>
      </c>
      <c r="E101" s="10">
        <v>112</v>
      </c>
      <c r="F101" s="10">
        <v>116</v>
      </c>
      <c r="G101" s="10">
        <v>117</v>
      </c>
      <c r="H101" s="10">
        <v>122</v>
      </c>
      <c r="I101" s="10">
        <v>110</v>
      </c>
      <c r="J101" s="11">
        <v>862</v>
      </c>
      <c r="K101" s="11">
        <v>878</v>
      </c>
      <c r="L101" s="11">
        <v>888</v>
      </c>
      <c r="M101" s="11">
        <v>892</v>
      </c>
      <c r="N101" s="11">
        <v>787</v>
      </c>
      <c r="O101" s="13">
        <v>17957</v>
      </c>
      <c r="P101" s="13">
        <v>18138</v>
      </c>
      <c r="Q101" s="13">
        <v>17431</v>
      </c>
      <c r="R101" s="13">
        <v>16910</v>
      </c>
      <c r="S101" s="13">
        <v>13118</v>
      </c>
      <c r="T101" s="12">
        <v>2555</v>
      </c>
      <c r="U101" s="12">
        <v>2290</v>
      </c>
      <c r="V101" s="12">
        <v>2784</v>
      </c>
      <c r="W101" s="12">
        <v>2309</v>
      </c>
      <c r="X101" s="12">
        <v>1827</v>
      </c>
      <c r="Y101" s="12">
        <v>6</v>
      </c>
      <c r="Z101" s="12">
        <v>6</v>
      </c>
      <c r="AA101" s="12">
        <v>6</v>
      </c>
      <c r="AB101" s="13">
        <v>6</v>
      </c>
      <c r="AC101" s="13">
        <v>6</v>
      </c>
      <c r="AD101" s="13">
        <v>6</v>
      </c>
      <c r="AE101" s="35" t="s">
        <v>258</v>
      </c>
      <c r="AF101" s="35" t="s">
        <v>258</v>
      </c>
      <c r="AG101" s="35" t="s">
        <v>258</v>
      </c>
      <c r="AH101" s="38">
        <v>0.5</v>
      </c>
      <c r="AI101" s="38">
        <v>0.5</v>
      </c>
      <c r="AJ101" s="38">
        <v>0.5</v>
      </c>
      <c r="AK101" s="45" t="s">
        <v>34</v>
      </c>
      <c r="AL101" s="45" t="s">
        <v>34</v>
      </c>
      <c r="AM101" s="45" t="s">
        <v>34</v>
      </c>
      <c r="AN101" s="45" t="s">
        <v>293</v>
      </c>
      <c r="AO101" s="45" t="s">
        <v>34</v>
      </c>
      <c r="AP101" s="45" t="s">
        <v>292</v>
      </c>
      <c r="AQ101" s="53" t="s">
        <v>297</v>
      </c>
      <c r="AR101" s="56">
        <v>308</v>
      </c>
      <c r="AS101" s="57">
        <v>234</v>
      </c>
      <c r="AT101" s="56">
        <v>387</v>
      </c>
      <c r="AU101" s="57">
        <v>49175</v>
      </c>
      <c r="AV101" s="57">
        <v>31093</v>
      </c>
      <c r="AW101" s="57">
        <v>40802</v>
      </c>
      <c r="AX101" s="57">
        <v>48</v>
      </c>
      <c r="AY101" s="57">
        <v>16</v>
      </c>
      <c r="AZ101" s="57">
        <v>22</v>
      </c>
      <c r="BA101" s="57">
        <v>4510</v>
      </c>
      <c r="BB101" s="57">
        <v>17438</v>
      </c>
      <c r="BC101" s="57">
        <v>21376</v>
      </c>
      <c r="BD101" s="57">
        <v>3768</v>
      </c>
      <c r="BE101" s="57">
        <v>15705</v>
      </c>
      <c r="BF101" s="57">
        <v>8289</v>
      </c>
      <c r="BG101" s="57">
        <v>3062</v>
      </c>
      <c r="BH101" s="57">
        <v>13927</v>
      </c>
      <c r="BI101" s="57">
        <v>12048</v>
      </c>
      <c r="BJ101" s="57" t="s">
        <v>297</v>
      </c>
      <c r="BK101" s="57">
        <v>40</v>
      </c>
      <c r="BL101" s="57">
        <v>0</v>
      </c>
      <c r="BM101" s="57">
        <v>0</v>
      </c>
      <c r="BN101" s="57">
        <v>5722</v>
      </c>
      <c r="BO101" s="57">
        <v>4494</v>
      </c>
      <c r="BP101" s="57">
        <v>2700</v>
      </c>
      <c r="BQ101" s="76">
        <v>496</v>
      </c>
      <c r="BR101" s="76">
        <v>497</v>
      </c>
      <c r="BS101">
        <v>492</v>
      </c>
      <c r="BT101">
        <v>492</v>
      </c>
      <c r="BU101">
        <v>492</v>
      </c>
      <c r="BV101">
        <v>109073</v>
      </c>
      <c r="BW101">
        <v>108249</v>
      </c>
      <c r="BX101">
        <v>107134</v>
      </c>
      <c r="BY101">
        <v>105630</v>
      </c>
      <c r="BZ101">
        <v>104323</v>
      </c>
      <c r="CA101">
        <v>120</v>
      </c>
      <c r="CB101">
        <v>120</v>
      </c>
      <c r="CC101">
        <v>130</v>
      </c>
      <c r="CD101">
        <v>136</v>
      </c>
      <c r="CE101">
        <v>120</v>
      </c>
      <c r="CF101">
        <v>20512</v>
      </c>
      <c r="CG101">
        <v>20428</v>
      </c>
      <c r="CH101">
        <v>20215</v>
      </c>
      <c r="CI101">
        <v>19219</v>
      </c>
      <c r="CJ101">
        <v>14945</v>
      </c>
      <c r="CK101" s="10">
        <v>70</v>
      </c>
      <c r="CL101" s="10">
        <v>70</v>
      </c>
      <c r="CM101" s="10">
        <v>70</v>
      </c>
      <c r="CN101" s="11">
        <v>14.5</v>
      </c>
      <c r="CO101" s="11">
        <v>14.5</v>
      </c>
      <c r="CP101" s="11">
        <v>14.5</v>
      </c>
      <c r="CQ101" s="13">
        <v>91</v>
      </c>
      <c r="CR101" s="13">
        <v>14</v>
      </c>
      <c r="CS101" s="13">
        <v>3</v>
      </c>
      <c r="CT101" s="10">
        <v>0</v>
      </c>
      <c r="CU101" s="10">
        <v>1</v>
      </c>
      <c r="CV101" s="10">
        <v>17</v>
      </c>
      <c r="CW101" s="10">
        <v>31</v>
      </c>
      <c r="CX101" s="10">
        <v>15</v>
      </c>
      <c r="CY101" s="10">
        <v>1</v>
      </c>
      <c r="CZ101" s="10">
        <v>0</v>
      </c>
      <c r="DA101" s="10">
        <v>0</v>
      </c>
      <c r="DB101" s="10">
        <v>8</v>
      </c>
      <c r="DC101" s="10">
        <v>1</v>
      </c>
      <c r="DD101" s="10">
        <v>0</v>
      </c>
      <c r="DE101" s="10">
        <v>0</v>
      </c>
      <c r="DF101" s="10">
        <v>10</v>
      </c>
      <c r="DG101" s="10">
        <v>0</v>
      </c>
      <c r="DH101" s="10">
        <v>24</v>
      </c>
      <c r="DI101" s="81">
        <v>11</v>
      </c>
      <c r="DJ101" s="81">
        <v>0</v>
      </c>
      <c r="DK101" s="81">
        <v>13</v>
      </c>
      <c r="DL101" s="81">
        <v>0</v>
      </c>
      <c r="DM101" s="81">
        <v>0</v>
      </c>
      <c r="DN101" s="12">
        <v>0</v>
      </c>
      <c r="DO101" s="12">
        <v>0</v>
      </c>
      <c r="DP101" s="12">
        <v>3</v>
      </c>
      <c r="DQ101" s="12">
        <v>13</v>
      </c>
      <c r="DR101" s="12">
        <v>0</v>
      </c>
      <c r="DS101" s="12">
        <v>0</v>
      </c>
      <c r="DT101" s="12">
        <v>20</v>
      </c>
      <c r="DU101" s="12">
        <v>0</v>
      </c>
      <c r="DV101" s="12">
        <v>49</v>
      </c>
      <c r="DW101" s="12">
        <v>3</v>
      </c>
      <c r="DX101" s="12">
        <v>20</v>
      </c>
      <c r="DY101" s="12">
        <v>3</v>
      </c>
      <c r="DZ101" s="12">
        <v>0</v>
      </c>
      <c r="EA101" s="12">
        <v>0</v>
      </c>
      <c r="EB101" s="12">
        <v>97</v>
      </c>
      <c r="EC101" s="12">
        <v>0</v>
      </c>
      <c r="ED101" s="12">
        <v>34</v>
      </c>
      <c r="EE101" s="12">
        <v>6</v>
      </c>
      <c r="EF101" s="12">
        <v>56</v>
      </c>
      <c r="EG101" s="12">
        <v>0</v>
      </c>
      <c r="EH101" s="12">
        <v>0</v>
      </c>
      <c r="EI101" s="12">
        <v>0</v>
      </c>
      <c r="EJ101" s="12">
        <v>8</v>
      </c>
      <c r="EK101" s="12">
        <v>41</v>
      </c>
      <c r="EL101" s="12">
        <v>22</v>
      </c>
      <c r="EM101" s="12">
        <v>77</v>
      </c>
      <c r="EN101" s="12">
        <v>30</v>
      </c>
      <c r="EO101" s="12">
        <v>5</v>
      </c>
      <c r="EP101" s="12">
        <v>58</v>
      </c>
      <c r="EQ101" s="12">
        <v>24</v>
      </c>
      <c r="ER101" s="12">
        <v>0</v>
      </c>
      <c r="ES101" s="13">
        <v>129</v>
      </c>
      <c r="ET101" s="13">
        <v>6</v>
      </c>
      <c r="EU101" s="13">
        <v>2</v>
      </c>
      <c r="EV101" s="10">
        <v>0</v>
      </c>
      <c r="EW101" s="10">
        <v>0</v>
      </c>
      <c r="EX101" s="10">
        <v>25</v>
      </c>
      <c r="EY101" s="10">
        <v>4</v>
      </c>
      <c r="EZ101" s="10">
        <v>0</v>
      </c>
      <c r="FA101" s="10">
        <v>0</v>
      </c>
      <c r="FB101" s="10">
        <v>0</v>
      </c>
      <c r="FC101" s="10">
        <v>0</v>
      </c>
      <c r="FD101" s="10">
        <v>3</v>
      </c>
      <c r="FE101" s="10">
        <v>0</v>
      </c>
      <c r="FF101" s="10">
        <v>1</v>
      </c>
      <c r="FG101" s="10">
        <v>0</v>
      </c>
      <c r="FH101" s="10">
        <v>0</v>
      </c>
      <c r="FI101" s="10">
        <v>0</v>
      </c>
      <c r="FJ101" s="10">
        <v>0</v>
      </c>
      <c r="FK101" s="81">
        <v>8</v>
      </c>
      <c r="FL101" s="81">
        <v>7</v>
      </c>
      <c r="FM101" s="81">
        <v>31</v>
      </c>
      <c r="FN101" s="81">
        <v>0</v>
      </c>
      <c r="FO101" s="81">
        <v>0</v>
      </c>
      <c r="FP101" s="12">
        <v>4</v>
      </c>
      <c r="FQ101" s="12">
        <v>0</v>
      </c>
      <c r="FR101" s="12">
        <v>3</v>
      </c>
      <c r="FS101" s="12">
        <v>1</v>
      </c>
      <c r="FT101" s="12">
        <v>1</v>
      </c>
      <c r="FU101" s="12">
        <v>0</v>
      </c>
      <c r="FV101" s="12">
        <v>6</v>
      </c>
      <c r="FW101" s="12">
        <v>0</v>
      </c>
      <c r="FX101" s="12">
        <v>46</v>
      </c>
      <c r="FY101" s="12">
        <v>4</v>
      </c>
      <c r="FZ101" s="12">
        <v>10</v>
      </c>
      <c r="GA101" s="12">
        <v>1</v>
      </c>
      <c r="GB101" s="12">
        <v>1</v>
      </c>
      <c r="GC101" s="12">
        <v>0</v>
      </c>
      <c r="GD101" s="12">
        <v>60</v>
      </c>
      <c r="GE101" s="12">
        <v>0</v>
      </c>
      <c r="GF101" s="12">
        <v>10</v>
      </c>
      <c r="GG101" s="12">
        <v>13</v>
      </c>
      <c r="GH101" s="12">
        <v>51</v>
      </c>
      <c r="GI101" s="12">
        <v>0</v>
      </c>
      <c r="GJ101" s="12">
        <v>1</v>
      </c>
      <c r="GK101" s="12">
        <v>0</v>
      </c>
      <c r="GL101" s="12">
        <v>6</v>
      </c>
      <c r="GM101" s="12">
        <v>29</v>
      </c>
      <c r="GN101" s="12">
        <v>25</v>
      </c>
      <c r="GO101" s="12">
        <v>65</v>
      </c>
      <c r="GP101" s="12">
        <v>26</v>
      </c>
      <c r="GQ101" s="12">
        <v>9</v>
      </c>
      <c r="GR101" s="12">
        <v>61</v>
      </c>
      <c r="GS101" s="12">
        <v>24</v>
      </c>
      <c r="GT101" s="12">
        <v>0</v>
      </c>
      <c r="GU101" s="13">
        <v>234</v>
      </c>
      <c r="GV101" s="13">
        <v>122</v>
      </c>
      <c r="GW101" s="13">
        <v>7</v>
      </c>
      <c r="GX101" s="13">
        <v>3</v>
      </c>
      <c r="GY101" s="10">
        <v>0</v>
      </c>
      <c r="GZ101" s="10">
        <v>0</v>
      </c>
      <c r="HA101" s="10">
        <v>89</v>
      </c>
      <c r="HB101" s="10">
        <v>13</v>
      </c>
      <c r="HC101" s="10">
        <v>24</v>
      </c>
      <c r="HD101" s="10">
        <v>0</v>
      </c>
      <c r="HE101" s="10">
        <v>0</v>
      </c>
      <c r="HF101" s="10">
        <v>0</v>
      </c>
      <c r="HG101" s="10">
        <v>0</v>
      </c>
      <c r="HH101" s="10">
        <v>0</v>
      </c>
      <c r="HI101" s="10">
        <v>22</v>
      </c>
      <c r="HJ101" s="10">
        <v>0</v>
      </c>
      <c r="HK101" s="10">
        <v>4</v>
      </c>
      <c r="HL101" s="10">
        <v>0</v>
      </c>
      <c r="HM101" s="10">
        <v>0</v>
      </c>
      <c r="HN101" s="81">
        <v>0</v>
      </c>
      <c r="HO101" s="81">
        <v>0</v>
      </c>
      <c r="HP101" s="81">
        <v>1</v>
      </c>
      <c r="HQ101" s="81">
        <v>0</v>
      </c>
      <c r="HR101" s="81">
        <v>0</v>
      </c>
      <c r="HS101" s="12">
        <v>2</v>
      </c>
      <c r="HT101" s="12">
        <v>0</v>
      </c>
      <c r="HU101" s="12">
        <v>1</v>
      </c>
      <c r="HV101" s="12">
        <v>2</v>
      </c>
      <c r="HW101" s="12">
        <v>0</v>
      </c>
      <c r="HX101" s="12">
        <v>0</v>
      </c>
      <c r="HY101" s="12">
        <v>0</v>
      </c>
      <c r="HZ101" s="12">
        <v>0</v>
      </c>
      <c r="IA101" s="12">
        <v>3</v>
      </c>
      <c r="IB101" s="12">
        <v>2</v>
      </c>
      <c r="IC101" s="12">
        <v>1</v>
      </c>
      <c r="ID101" s="12">
        <v>1</v>
      </c>
      <c r="IE101" s="12">
        <v>0</v>
      </c>
      <c r="IF101" s="12">
        <v>0</v>
      </c>
      <c r="IG101" s="12">
        <v>53</v>
      </c>
      <c r="IH101" s="12">
        <v>0</v>
      </c>
      <c r="II101" s="12">
        <v>45</v>
      </c>
      <c r="IJ101" s="12">
        <v>0</v>
      </c>
      <c r="IK101" s="12">
        <v>5</v>
      </c>
      <c r="IL101" s="12">
        <v>1</v>
      </c>
      <c r="IM101" s="12">
        <v>0</v>
      </c>
      <c r="IN101" s="12">
        <v>0</v>
      </c>
      <c r="IO101" s="12">
        <v>4</v>
      </c>
      <c r="IP101" s="12">
        <v>13</v>
      </c>
      <c r="IQ101" s="12">
        <v>7</v>
      </c>
      <c r="IR101" s="12">
        <v>68</v>
      </c>
      <c r="IS101" s="12">
        <v>3</v>
      </c>
      <c r="IT101" s="12">
        <v>3</v>
      </c>
      <c r="IU101" s="12">
        <v>19</v>
      </c>
      <c r="IV101" s="12">
        <v>8</v>
      </c>
      <c r="IW101" s="12">
        <v>0</v>
      </c>
      <c r="IX101" s="11">
        <v>10000</v>
      </c>
      <c r="IY101" s="11">
        <v>9100</v>
      </c>
      <c r="IZ101" s="11">
        <v>7000</v>
      </c>
      <c r="JA101" s="85" t="s">
        <v>604</v>
      </c>
      <c r="JB101" s="85" t="s">
        <v>602</v>
      </c>
      <c r="JC101" s="85" t="s">
        <v>602</v>
      </c>
      <c r="JD101" s="12">
        <v>22</v>
      </c>
      <c r="JE101" s="12">
        <v>0</v>
      </c>
      <c r="JF101" s="12">
        <v>22</v>
      </c>
      <c r="JG101" s="12">
        <v>0</v>
      </c>
      <c r="JH101" s="12">
        <v>21</v>
      </c>
      <c r="JI101" s="12">
        <v>0</v>
      </c>
      <c r="JJ101" s="13" t="s">
        <v>619</v>
      </c>
      <c r="JK101" s="13" t="s">
        <v>619</v>
      </c>
      <c r="JL101" s="13" t="s">
        <v>296</v>
      </c>
      <c r="JM101" s="89"/>
      <c r="JN101" s="89"/>
      <c r="JO101" s="89" t="s">
        <v>296</v>
      </c>
      <c r="JP101" s="89"/>
      <c r="JQ101" s="89"/>
      <c r="JR101" s="89" t="s">
        <v>296</v>
      </c>
      <c r="JS101" s="89" t="s">
        <v>619</v>
      </c>
      <c r="JT101" s="89" t="s">
        <v>619</v>
      </c>
      <c r="JU101" s="89" t="s">
        <v>296</v>
      </c>
      <c r="JV101" s="89"/>
      <c r="JW101" s="89"/>
      <c r="JX101" s="89" t="s">
        <v>297</v>
      </c>
      <c r="JY101" s="12" t="s">
        <v>619</v>
      </c>
      <c r="JZ101" s="12" t="s">
        <v>34</v>
      </c>
      <c r="KA101" s="12" t="s">
        <v>34</v>
      </c>
      <c r="KB101" s="12" t="s">
        <v>34</v>
      </c>
      <c r="KC101" s="12" t="s">
        <v>34</v>
      </c>
      <c r="KD101" s="12" t="s">
        <v>34</v>
      </c>
      <c r="KE101" s="12" t="s">
        <v>34</v>
      </c>
      <c r="KF101" s="12"/>
      <c r="KG101" s="12" t="s">
        <v>34</v>
      </c>
      <c r="KH101" s="12" t="s">
        <v>34</v>
      </c>
      <c r="KI101" s="12" t="s">
        <v>34</v>
      </c>
      <c r="KJ101" s="12" t="s">
        <v>34</v>
      </c>
      <c r="KK101" s="12" t="s">
        <v>34</v>
      </c>
      <c r="KL101" s="12" t="s">
        <v>34</v>
      </c>
      <c r="KM101" s="12" t="s">
        <v>34</v>
      </c>
      <c r="KN101" s="12" t="s">
        <v>619</v>
      </c>
      <c r="KO101" s="12" t="s">
        <v>619</v>
      </c>
      <c r="KP101" s="12" t="s">
        <v>34</v>
      </c>
      <c r="KQ101" s="12" t="s">
        <v>34</v>
      </c>
      <c r="KR101" s="12" t="s">
        <v>34</v>
      </c>
      <c r="KS101" s="12" t="s">
        <v>34</v>
      </c>
      <c r="KT101" s="12" t="s">
        <v>34</v>
      </c>
      <c r="KU101" s="12" t="s">
        <v>34</v>
      </c>
      <c r="KV101" s="12" t="s">
        <v>34</v>
      </c>
      <c r="KW101" s="12" t="s">
        <v>34</v>
      </c>
      <c r="KX101" s="12" t="s">
        <v>34</v>
      </c>
      <c r="KY101" s="12" t="s">
        <v>34</v>
      </c>
      <c r="KZ101" s="12" t="s">
        <v>34</v>
      </c>
      <c r="LA101" s="12" t="s">
        <v>34</v>
      </c>
      <c r="LB101" s="12" t="s">
        <v>619</v>
      </c>
      <c r="LC101" s="12" t="s">
        <v>34</v>
      </c>
      <c r="LD101" s="12" t="s">
        <v>619</v>
      </c>
      <c r="LE101" s="12" t="s">
        <v>619</v>
      </c>
      <c r="LF101" s="12" t="s">
        <v>34</v>
      </c>
      <c r="LG101" s="12" t="s">
        <v>34</v>
      </c>
      <c r="LH101" s="12" t="s">
        <v>34</v>
      </c>
      <c r="LI101" s="12" t="s">
        <v>619</v>
      </c>
      <c r="LJ101" s="12" t="s">
        <v>619</v>
      </c>
      <c r="LK101" s="12" t="s">
        <v>34</v>
      </c>
      <c r="LL101" s="13" t="s">
        <v>34</v>
      </c>
      <c r="LM101" s="13" t="s">
        <v>34</v>
      </c>
      <c r="LN101" s="13" t="s">
        <v>34</v>
      </c>
      <c r="LO101" s="13" t="s">
        <v>34</v>
      </c>
      <c r="LP101" s="90" t="s">
        <v>34</v>
      </c>
      <c r="LQ101" s="13" t="s">
        <v>34</v>
      </c>
      <c r="LR101" s="13" t="s">
        <v>34</v>
      </c>
      <c r="LS101" s="13"/>
      <c r="LT101" s="13" t="s">
        <v>34</v>
      </c>
      <c r="LU101" s="13" t="s">
        <v>34</v>
      </c>
      <c r="LV101" s="13" t="s">
        <v>34</v>
      </c>
      <c r="LW101" s="13" t="s">
        <v>34</v>
      </c>
      <c r="LX101" s="13" t="s">
        <v>34</v>
      </c>
      <c r="LY101" s="13" t="s">
        <v>34</v>
      </c>
      <c r="LZ101" s="13" t="s">
        <v>34</v>
      </c>
      <c r="MA101" s="13" t="s">
        <v>34</v>
      </c>
      <c r="MB101" s="13" t="s">
        <v>34</v>
      </c>
      <c r="MC101" s="13" t="s">
        <v>34</v>
      </c>
      <c r="MD101" s="13" t="s">
        <v>34</v>
      </c>
      <c r="ME101" s="13" t="s">
        <v>34</v>
      </c>
      <c r="MF101" s="13" t="s">
        <v>34</v>
      </c>
      <c r="MG101" s="13" t="s">
        <v>34</v>
      </c>
      <c r="MH101" s="13" t="s">
        <v>34</v>
      </c>
      <c r="MI101" s="13" t="s">
        <v>34</v>
      </c>
      <c r="MJ101" s="13" t="s">
        <v>34</v>
      </c>
      <c r="MK101" s="13" t="s">
        <v>34</v>
      </c>
      <c r="ML101" s="13" t="s">
        <v>34</v>
      </c>
      <c r="MM101" s="13" t="s">
        <v>34</v>
      </c>
      <c r="MN101" s="13" t="s">
        <v>34</v>
      </c>
      <c r="MO101" s="13" t="s">
        <v>34</v>
      </c>
      <c r="MP101" s="13" t="s">
        <v>34</v>
      </c>
      <c r="MQ101" s="13" t="s">
        <v>34</v>
      </c>
      <c r="MR101" s="13" t="s">
        <v>34</v>
      </c>
      <c r="MS101" s="13" t="s">
        <v>34</v>
      </c>
      <c r="MT101" s="13" t="s">
        <v>34</v>
      </c>
      <c r="MU101" s="13" t="s">
        <v>34</v>
      </c>
      <c r="MV101" s="13" t="s">
        <v>34</v>
      </c>
      <c r="MW101" s="13" t="s">
        <v>34</v>
      </c>
      <c r="MX101" s="13" t="s">
        <v>34</v>
      </c>
      <c r="MY101" s="28" t="s">
        <v>296</v>
      </c>
      <c r="MZ101" s="28" t="s">
        <v>296</v>
      </c>
      <c r="NA101" s="28" t="s">
        <v>296</v>
      </c>
      <c r="NB101" s="28" t="s">
        <v>296</v>
      </c>
      <c r="NC101" s="28" t="s">
        <v>296</v>
      </c>
      <c r="ND101" s="28" t="s">
        <v>296</v>
      </c>
      <c r="NE101" s="28" t="s">
        <v>296</v>
      </c>
      <c r="NF101" s="28" t="s">
        <v>297</v>
      </c>
      <c r="NG101" s="28" t="s">
        <v>297</v>
      </c>
      <c r="NH101" s="28" t="s">
        <v>297</v>
      </c>
      <c r="NI101" s="177" t="s">
        <v>296</v>
      </c>
      <c r="NJ101" s="177" t="s">
        <v>297</v>
      </c>
      <c r="NK101" s="177" t="s">
        <v>296</v>
      </c>
      <c r="NL101" s="177" t="s">
        <v>296</v>
      </c>
      <c r="NM101" s="177" t="s">
        <v>296</v>
      </c>
      <c r="NN101" s="177" t="s">
        <v>296</v>
      </c>
      <c r="NO101" s="177" t="s">
        <v>296</v>
      </c>
      <c r="NP101" s="177" t="s">
        <v>297</v>
      </c>
      <c r="NQ101" s="177" t="s">
        <v>297</v>
      </c>
      <c r="NR101" s="12" t="s">
        <v>34</v>
      </c>
      <c r="NS101" s="13" t="s">
        <v>34</v>
      </c>
    </row>
    <row r="102" spans="1:383" x14ac:dyDescent="0.25">
      <c r="A102" s="8" t="s">
        <v>244</v>
      </c>
      <c r="B102" s="9" t="s">
        <v>245</v>
      </c>
      <c r="C102" s="9">
        <v>1</v>
      </c>
      <c r="D102" s="9" t="s">
        <v>237</v>
      </c>
      <c r="E102" s="10">
        <v>0</v>
      </c>
      <c r="F102" s="10">
        <v>1</v>
      </c>
      <c r="G102" s="10">
        <v>15</v>
      </c>
      <c r="H102" s="10">
        <v>17</v>
      </c>
      <c r="I102" s="10">
        <v>18</v>
      </c>
      <c r="J102" s="11">
        <v>0</v>
      </c>
      <c r="K102" s="11">
        <v>4</v>
      </c>
      <c r="L102" s="11">
        <v>49</v>
      </c>
      <c r="M102" s="11">
        <v>44</v>
      </c>
      <c r="N102" s="11">
        <v>81</v>
      </c>
      <c r="O102" s="13">
        <v>0</v>
      </c>
      <c r="P102" s="13">
        <v>0</v>
      </c>
      <c r="Q102" s="13">
        <v>1785</v>
      </c>
      <c r="R102" s="13">
        <v>1411</v>
      </c>
      <c r="S102" s="13">
        <v>2051</v>
      </c>
      <c r="T102" s="12">
        <v>0</v>
      </c>
      <c r="U102" s="12">
        <v>0</v>
      </c>
      <c r="V102" s="12">
        <v>161</v>
      </c>
      <c r="W102" s="12">
        <v>17</v>
      </c>
      <c r="X102" s="12">
        <v>49</v>
      </c>
      <c r="Y102" s="12">
        <v>8.17</v>
      </c>
      <c r="Z102" s="12">
        <v>8.19</v>
      </c>
      <c r="AA102" s="12">
        <v>8.19</v>
      </c>
      <c r="AB102" s="13">
        <v>5.67</v>
      </c>
      <c r="AC102" s="13">
        <v>5.69</v>
      </c>
      <c r="AD102" s="13">
        <v>5.69</v>
      </c>
      <c r="AE102" s="35" t="s">
        <v>258</v>
      </c>
      <c r="AF102" s="35" t="s">
        <v>258</v>
      </c>
      <c r="AG102" s="35" t="s">
        <v>258</v>
      </c>
      <c r="AH102" s="38">
        <v>1</v>
      </c>
      <c r="AI102" s="38">
        <v>1</v>
      </c>
      <c r="AJ102" s="38">
        <v>0</v>
      </c>
      <c r="AK102" s="45" t="s">
        <v>34</v>
      </c>
      <c r="AL102" s="45" t="s">
        <v>34</v>
      </c>
      <c r="AM102" s="45" t="s">
        <v>34</v>
      </c>
      <c r="AN102" s="45" t="s">
        <v>34</v>
      </c>
      <c r="AO102" s="45" t="s">
        <v>34</v>
      </c>
      <c r="AP102" s="45" t="s">
        <v>34</v>
      </c>
      <c r="AQ102" s="53" t="s">
        <v>297</v>
      </c>
      <c r="AR102" s="56">
        <v>0</v>
      </c>
      <c r="AS102" s="57">
        <v>5</v>
      </c>
      <c r="AT102" s="56">
        <v>10</v>
      </c>
      <c r="AU102" s="57">
        <v>0</v>
      </c>
      <c r="AV102" s="57">
        <v>1395</v>
      </c>
      <c r="AW102" s="57">
        <v>3114</v>
      </c>
      <c r="AX102" s="57">
        <v>0</v>
      </c>
      <c r="AY102" s="57">
        <v>5</v>
      </c>
      <c r="AZ102" s="57">
        <v>9</v>
      </c>
      <c r="BA102" s="57">
        <v>0</v>
      </c>
      <c r="BB102" s="57">
        <v>0</v>
      </c>
      <c r="BC102" s="57">
        <v>0</v>
      </c>
      <c r="BD102" s="57">
        <v>0</v>
      </c>
      <c r="BE102" s="57">
        <v>154</v>
      </c>
      <c r="BF102" s="57">
        <v>494</v>
      </c>
      <c r="BG102" s="57">
        <v>48</v>
      </c>
      <c r="BH102" s="57">
        <v>519</v>
      </c>
      <c r="BI102" s="57">
        <v>1016</v>
      </c>
      <c r="BJ102" s="57" t="s">
        <v>297</v>
      </c>
      <c r="BK102" s="57">
        <v>11</v>
      </c>
      <c r="BL102" s="57">
        <v>0</v>
      </c>
      <c r="BM102" s="57">
        <v>0</v>
      </c>
      <c r="BN102" s="57">
        <v>3600</v>
      </c>
      <c r="BO102" s="57">
        <v>0</v>
      </c>
      <c r="BP102" s="57">
        <v>0</v>
      </c>
      <c r="BQ102" s="76">
        <v>182</v>
      </c>
      <c r="BR102" s="76">
        <v>183</v>
      </c>
      <c r="BS102">
        <v>183</v>
      </c>
      <c r="BT102">
        <v>183</v>
      </c>
      <c r="BU102">
        <v>188</v>
      </c>
      <c r="BV102">
        <v>52567</v>
      </c>
      <c r="BW102">
        <v>53047</v>
      </c>
      <c r="BX102">
        <v>52083</v>
      </c>
      <c r="BY102">
        <v>52290</v>
      </c>
      <c r="BZ102">
        <v>54204</v>
      </c>
      <c r="CA102">
        <v>0</v>
      </c>
      <c r="CB102">
        <v>0</v>
      </c>
      <c r="CC102">
        <v>12</v>
      </c>
      <c r="CD102">
        <v>14</v>
      </c>
      <c r="CE102">
        <v>17</v>
      </c>
      <c r="CF102">
        <v>0</v>
      </c>
      <c r="CG102">
        <v>0</v>
      </c>
      <c r="CH102">
        <v>1946</v>
      </c>
      <c r="CI102">
        <v>1428</v>
      </c>
      <c r="CJ102">
        <v>2100</v>
      </c>
      <c r="CK102" s="10">
        <v>20</v>
      </c>
      <c r="CL102" s="10">
        <v>20.100000000000001</v>
      </c>
      <c r="CM102" s="10">
        <v>20.100000000000001</v>
      </c>
      <c r="CN102" s="11">
        <v>17.23</v>
      </c>
      <c r="CO102" s="11">
        <v>17.23</v>
      </c>
      <c r="CP102" s="11">
        <v>17.23</v>
      </c>
      <c r="CQ102" s="13">
        <v>0</v>
      </c>
      <c r="CR102" s="13">
        <v>0</v>
      </c>
      <c r="CS102" s="13">
        <v>0</v>
      </c>
      <c r="CT102" s="10">
        <v>0</v>
      </c>
      <c r="CU102" s="10">
        <v>0</v>
      </c>
      <c r="CV102" s="10">
        <v>0</v>
      </c>
      <c r="CW102" s="10">
        <v>0</v>
      </c>
      <c r="CX102" s="10">
        <v>0</v>
      </c>
      <c r="CY102" s="10">
        <v>0</v>
      </c>
      <c r="CZ102" s="10">
        <v>0</v>
      </c>
      <c r="DA102" s="10">
        <v>0</v>
      </c>
      <c r="DB102" s="10">
        <v>0</v>
      </c>
      <c r="DC102" s="10">
        <v>0</v>
      </c>
      <c r="DD102" s="10">
        <v>0</v>
      </c>
      <c r="DE102" s="10">
        <v>0</v>
      </c>
      <c r="DF102" s="10">
        <v>0</v>
      </c>
      <c r="DG102" s="10">
        <v>0</v>
      </c>
      <c r="DH102" s="10">
        <v>0</v>
      </c>
      <c r="DI102" s="81">
        <v>0</v>
      </c>
      <c r="DJ102" s="81">
        <v>0</v>
      </c>
      <c r="DK102" s="81">
        <v>0</v>
      </c>
      <c r="DL102" s="81">
        <v>0</v>
      </c>
      <c r="DM102" s="81">
        <v>0</v>
      </c>
      <c r="DN102" s="12">
        <v>0</v>
      </c>
      <c r="DO102" s="12">
        <v>0</v>
      </c>
      <c r="DP102" s="12">
        <v>0</v>
      </c>
      <c r="DQ102" s="12">
        <v>0</v>
      </c>
      <c r="DR102" s="12">
        <v>0</v>
      </c>
      <c r="DS102" s="12">
        <v>0</v>
      </c>
      <c r="DT102" s="12">
        <v>0</v>
      </c>
      <c r="DU102" s="12">
        <v>0</v>
      </c>
      <c r="DV102" s="12">
        <v>0</v>
      </c>
      <c r="DW102" s="12">
        <v>0</v>
      </c>
      <c r="DX102" s="12">
        <v>0</v>
      </c>
      <c r="DY102" s="12">
        <v>0</v>
      </c>
      <c r="DZ102" s="12">
        <v>0</v>
      </c>
      <c r="EA102" s="12">
        <v>0</v>
      </c>
      <c r="EB102" s="12">
        <v>0</v>
      </c>
      <c r="EC102" s="12">
        <v>0</v>
      </c>
      <c r="ED102" s="12">
        <v>0</v>
      </c>
      <c r="EE102" s="12">
        <v>0</v>
      </c>
      <c r="EF102" s="12">
        <v>0</v>
      </c>
      <c r="EG102" s="12">
        <v>0</v>
      </c>
      <c r="EH102" s="12">
        <v>0</v>
      </c>
      <c r="EI102" s="12">
        <v>0</v>
      </c>
      <c r="EJ102" s="12">
        <v>0</v>
      </c>
      <c r="EK102" s="12">
        <v>0</v>
      </c>
      <c r="EL102" s="12">
        <v>0</v>
      </c>
      <c r="EM102" s="12">
        <v>0</v>
      </c>
      <c r="EN102" s="12">
        <v>0</v>
      </c>
      <c r="EO102" s="12">
        <v>0</v>
      </c>
      <c r="EP102" s="12">
        <v>0</v>
      </c>
      <c r="EQ102" s="12">
        <v>0</v>
      </c>
      <c r="ER102" s="12">
        <v>0</v>
      </c>
      <c r="ES102" s="13">
        <v>2</v>
      </c>
      <c r="ET102" s="13">
        <v>2</v>
      </c>
      <c r="EU102" s="13">
        <v>0</v>
      </c>
      <c r="EV102" s="10">
        <v>0</v>
      </c>
      <c r="EW102" s="10">
        <v>0</v>
      </c>
      <c r="EX102" s="10">
        <v>2</v>
      </c>
      <c r="EY102" s="10">
        <v>0</v>
      </c>
      <c r="EZ102" s="10">
        <v>0</v>
      </c>
      <c r="FA102" s="10">
        <v>0</v>
      </c>
      <c r="FB102" s="10">
        <v>0</v>
      </c>
      <c r="FC102" s="10">
        <v>0</v>
      </c>
      <c r="FD102" s="10">
        <v>0</v>
      </c>
      <c r="FE102" s="10">
        <v>0</v>
      </c>
      <c r="FF102" s="10">
        <v>0</v>
      </c>
      <c r="FG102" s="10">
        <v>0</v>
      </c>
      <c r="FH102" s="10">
        <v>0</v>
      </c>
      <c r="FI102" s="10">
        <v>0</v>
      </c>
      <c r="FJ102" s="10">
        <v>0</v>
      </c>
      <c r="FK102" s="81">
        <v>0</v>
      </c>
      <c r="FL102" s="81">
        <v>0</v>
      </c>
      <c r="FM102" s="81">
        <v>1</v>
      </c>
      <c r="FN102" s="81">
        <v>0</v>
      </c>
      <c r="FO102" s="81">
        <v>0</v>
      </c>
      <c r="FP102" s="12">
        <v>0</v>
      </c>
      <c r="FQ102" s="12">
        <v>0</v>
      </c>
      <c r="FR102" s="12">
        <v>1</v>
      </c>
      <c r="FS102" s="12">
        <v>0</v>
      </c>
      <c r="FT102" s="12">
        <v>0</v>
      </c>
      <c r="FU102" s="12">
        <v>0</v>
      </c>
      <c r="FV102" s="12">
        <v>0</v>
      </c>
      <c r="FW102" s="12">
        <v>0</v>
      </c>
      <c r="FX102" s="12">
        <v>1</v>
      </c>
      <c r="FY102" s="12">
        <v>1</v>
      </c>
      <c r="FZ102" s="12">
        <v>0</v>
      </c>
      <c r="GA102" s="12">
        <v>1</v>
      </c>
      <c r="GB102" s="12">
        <v>0</v>
      </c>
      <c r="GC102" s="12">
        <v>0</v>
      </c>
      <c r="GD102" s="12">
        <v>1</v>
      </c>
      <c r="GE102" s="12">
        <v>0</v>
      </c>
      <c r="GF102" s="12">
        <v>1</v>
      </c>
      <c r="GG102" s="12">
        <v>0</v>
      </c>
      <c r="GH102" s="12">
        <v>0</v>
      </c>
      <c r="GI102" s="12">
        <v>0</v>
      </c>
      <c r="GJ102" s="12">
        <v>0</v>
      </c>
      <c r="GK102" s="12">
        <v>0</v>
      </c>
      <c r="GL102" s="12">
        <v>1</v>
      </c>
      <c r="GM102" s="12">
        <v>0</v>
      </c>
      <c r="GN102" s="12">
        <v>1</v>
      </c>
      <c r="GO102" s="12">
        <v>0</v>
      </c>
      <c r="GP102" s="12">
        <v>0</v>
      </c>
      <c r="GQ102" s="12">
        <v>0</v>
      </c>
      <c r="GR102" s="12">
        <v>0</v>
      </c>
      <c r="GS102" s="12">
        <v>0</v>
      </c>
      <c r="GT102" s="12">
        <v>0</v>
      </c>
      <c r="GU102" s="13">
        <v>5</v>
      </c>
      <c r="GV102" s="13">
        <v>18</v>
      </c>
      <c r="GW102" s="13">
        <v>20</v>
      </c>
      <c r="GX102" s="13">
        <v>0</v>
      </c>
      <c r="GY102" s="10">
        <v>0</v>
      </c>
      <c r="GZ102" s="10">
        <v>0</v>
      </c>
      <c r="HA102" s="10">
        <v>0</v>
      </c>
      <c r="HB102" s="10">
        <v>18</v>
      </c>
      <c r="HC102" s="10">
        <v>16</v>
      </c>
      <c r="HD102" s="10">
        <v>0</v>
      </c>
      <c r="HE102" s="10">
        <v>0</v>
      </c>
      <c r="HF102" s="10">
        <v>0</v>
      </c>
      <c r="HG102" s="10">
        <v>8</v>
      </c>
      <c r="HH102" s="10">
        <v>0</v>
      </c>
      <c r="HI102" s="10">
        <v>0</v>
      </c>
      <c r="HJ102" s="10">
        <v>0</v>
      </c>
      <c r="HK102" s="10">
        <v>2</v>
      </c>
      <c r="HL102" s="10">
        <v>0</v>
      </c>
      <c r="HM102" s="10">
        <v>0</v>
      </c>
      <c r="HN102" s="81">
        <v>0</v>
      </c>
      <c r="HO102" s="81">
        <v>0</v>
      </c>
      <c r="HP102" s="81">
        <v>20</v>
      </c>
      <c r="HQ102" s="81">
        <v>0</v>
      </c>
      <c r="HR102" s="81">
        <v>0</v>
      </c>
      <c r="HS102" s="12">
        <v>0</v>
      </c>
      <c r="HT102" s="12">
        <v>0</v>
      </c>
      <c r="HU102" s="12">
        <v>16</v>
      </c>
      <c r="HV102" s="12">
        <v>0</v>
      </c>
      <c r="HW102" s="12">
        <v>0</v>
      </c>
      <c r="HX102" s="12">
        <v>0</v>
      </c>
      <c r="HY102" s="12">
        <v>0</v>
      </c>
      <c r="HZ102" s="12">
        <v>0</v>
      </c>
      <c r="IA102" s="12">
        <v>20</v>
      </c>
      <c r="IB102" s="12">
        <v>10</v>
      </c>
      <c r="IC102" s="12">
        <v>0</v>
      </c>
      <c r="ID102" s="12">
        <v>16</v>
      </c>
      <c r="IE102" s="12">
        <v>0</v>
      </c>
      <c r="IF102" s="12">
        <v>0</v>
      </c>
      <c r="IG102" s="12">
        <v>0</v>
      </c>
      <c r="IH102" s="12">
        <v>0</v>
      </c>
      <c r="II102" s="12">
        <v>16</v>
      </c>
      <c r="IJ102" s="12">
        <v>0</v>
      </c>
      <c r="IK102" s="12">
        <v>0</v>
      </c>
      <c r="IL102" s="12">
        <v>0</v>
      </c>
      <c r="IM102" s="12">
        <v>0</v>
      </c>
      <c r="IN102" s="12">
        <v>0</v>
      </c>
      <c r="IO102" s="12">
        <v>16</v>
      </c>
      <c r="IP102" s="12">
        <v>0</v>
      </c>
      <c r="IQ102" s="12">
        <v>16</v>
      </c>
      <c r="IR102" s="12">
        <v>0</v>
      </c>
      <c r="IS102" s="12">
        <v>14</v>
      </c>
      <c r="IT102" s="12">
        <v>0</v>
      </c>
      <c r="IU102" s="12">
        <v>2</v>
      </c>
      <c r="IV102" s="12">
        <v>16</v>
      </c>
      <c r="IW102" s="12">
        <v>0</v>
      </c>
      <c r="IX102" s="11">
        <v>27000</v>
      </c>
      <c r="IY102" s="11">
        <v>11500</v>
      </c>
      <c r="IZ102" s="11">
        <v>0</v>
      </c>
      <c r="JA102" s="85">
        <v>1</v>
      </c>
      <c r="JB102" s="85" t="s">
        <v>604</v>
      </c>
      <c r="JC102" s="85" t="s">
        <v>604</v>
      </c>
      <c r="JD102" s="12">
        <v>11</v>
      </c>
      <c r="JE102" s="12">
        <v>3</v>
      </c>
      <c r="JF102" s="12">
        <v>11</v>
      </c>
      <c r="JG102" s="12">
        <v>4</v>
      </c>
      <c r="JH102" s="12">
        <v>13</v>
      </c>
      <c r="JI102" s="12">
        <v>2</v>
      </c>
      <c r="JJ102" s="13" t="s">
        <v>619</v>
      </c>
      <c r="JK102" s="13" t="s">
        <v>619</v>
      </c>
      <c r="JL102" s="13" t="s">
        <v>296</v>
      </c>
      <c r="JM102" s="89"/>
      <c r="JN102" s="89"/>
      <c r="JO102" s="89" t="s">
        <v>296</v>
      </c>
      <c r="JP102" s="89"/>
      <c r="JQ102" s="89"/>
      <c r="JR102" s="89" t="s">
        <v>297</v>
      </c>
      <c r="JS102" s="89" t="s">
        <v>619</v>
      </c>
      <c r="JT102" s="89" t="s">
        <v>620</v>
      </c>
      <c r="JU102" s="89" t="s">
        <v>297</v>
      </c>
      <c r="JV102" s="89"/>
      <c r="JW102" s="89"/>
      <c r="JX102" s="89" t="s">
        <v>297</v>
      </c>
      <c r="JY102" s="12" t="s">
        <v>34</v>
      </c>
      <c r="JZ102" s="12" t="s">
        <v>34</v>
      </c>
      <c r="KA102" s="12" t="s">
        <v>34</v>
      </c>
      <c r="KB102" s="12" t="s">
        <v>34</v>
      </c>
      <c r="KC102" s="12" t="s">
        <v>619</v>
      </c>
      <c r="KD102" s="12" t="s">
        <v>34</v>
      </c>
      <c r="KE102" s="12" t="s">
        <v>34</v>
      </c>
      <c r="KF102" s="12"/>
      <c r="KG102" s="12" t="s">
        <v>34</v>
      </c>
      <c r="KH102" s="12" t="s">
        <v>34</v>
      </c>
      <c r="KI102" s="12" t="s">
        <v>619</v>
      </c>
      <c r="KJ102" s="12" t="s">
        <v>34</v>
      </c>
      <c r="KK102" s="12" t="s">
        <v>34</v>
      </c>
      <c r="KL102" s="12" t="s">
        <v>34</v>
      </c>
      <c r="KM102" s="12" t="s">
        <v>34</v>
      </c>
      <c r="KN102" s="12" t="s">
        <v>619</v>
      </c>
      <c r="KO102" s="12" t="s">
        <v>34</v>
      </c>
      <c r="KP102" s="12" t="s">
        <v>34</v>
      </c>
      <c r="KQ102" s="12" t="s">
        <v>619</v>
      </c>
      <c r="KR102" s="12" t="s">
        <v>34</v>
      </c>
      <c r="KS102" s="12" t="s">
        <v>34</v>
      </c>
      <c r="KT102" s="12" t="s">
        <v>34</v>
      </c>
      <c r="KU102" s="12" t="s">
        <v>34</v>
      </c>
      <c r="KV102" s="12" t="s">
        <v>34</v>
      </c>
      <c r="KW102" s="12" t="s">
        <v>34</v>
      </c>
      <c r="KX102" s="12" t="s">
        <v>34</v>
      </c>
      <c r="KY102" s="12" t="s">
        <v>619</v>
      </c>
      <c r="KZ102" s="12" t="s">
        <v>34</v>
      </c>
      <c r="LA102" s="12" t="s">
        <v>34</v>
      </c>
      <c r="LB102" s="12" t="s">
        <v>619</v>
      </c>
      <c r="LC102" s="12" t="s">
        <v>34</v>
      </c>
      <c r="LD102" s="12" t="s">
        <v>34</v>
      </c>
      <c r="LE102" s="12" t="s">
        <v>34</v>
      </c>
      <c r="LF102" s="12" t="s">
        <v>34</v>
      </c>
      <c r="LG102" s="12" t="s">
        <v>34</v>
      </c>
      <c r="LH102" s="12" t="s">
        <v>34</v>
      </c>
      <c r="LI102" s="12" t="s">
        <v>619</v>
      </c>
      <c r="LJ102" s="12" t="s">
        <v>34</v>
      </c>
      <c r="LK102" s="12" t="s">
        <v>34</v>
      </c>
      <c r="LL102" s="12" t="s">
        <v>34</v>
      </c>
      <c r="LM102" s="12" t="s">
        <v>34</v>
      </c>
      <c r="LN102" s="12" t="s">
        <v>34</v>
      </c>
      <c r="LO102" s="12" t="s">
        <v>34</v>
      </c>
      <c r="LP102" s="90" t="s">
        <v>34</v>
      </c>
      <c r="LQ102" s="12" t="s">
        <v>34</v>
      </c>
      <c r="LR102" s="12" t="s">
        <v>34</v>
      </c>
      <c r="LS102" s="12"/>
      <c r="LT102" s="12" t="s">
        <v>34</v>
      </c>
      <c r="LU102" s="12" t="s">
        <v>34</v>
      </c>
      <c r="LV102" s="12" t="s">
        <v>34</v>
      </c>
      <c r="LW102" s="12" t="s">
        <v>34</v>
      </c>
      <c r="LX102" s="12" t="s">
        <v>34</v>
      </c>
      <c r="LY102" s="12" t="s">
        <v>34</v>
      </c>
      <c r="LZ102" s="12" t="s">
        <v>34</v>
      </c>
      <c r="MA102" s="12" t="s">
        <v>34</v>
      </c>
      <c r="MB102" s="12" t="s">
        <v>34</v>
      </c>
      <c r="MC102" s="12" t="s">
        <v>34</v>
      </c>
      <c r="MD102" s="12" t="s">
        <v>34</v>
      </c>
      <c r="ME102" s="12" t="s">
        <v>34</v>
      </c>
      <c r="MF102" s="12" t="s">
        <v>34</v>
      </c>
      <c r="MG102" s="12" t="s">
        <v>34</v>
      </c>
      <c r="MH102" s="12" t="s">
        <v>34</v>
      </c>
      <c r="MI102" s="12" t="s">
        <v>34</v>
      </c>
      <c r="MJ102" s="12" t="s">
        <v>34</v>
      </c>
      <c r="MK102" s="12" t="s">
        <v>34</v>
      </c>
      <c r="ML102" s="12" t="s">
        <v>34</v>
      </c>
      <c r="MM102" s="12" t="s">
        <v>34</v>
      </c>
      <c r="MN102" s="12" t="s">
        <v>34</v>
      </c>
      <c r="MO102" s="12" t="s">
        <v>34</v>
      </c>
      <c r="MP102" s="12" t="s">
        <v>34</v>
      </c>
      <c r="MQ102" s="12" t="s">
        <v>34</v>
      </c>
      <c r="MR102" s="12" t="s">
        <v>34</v>
      </c>
      <c r="MS102" s="12" t="s">
        <v>34</v>
      </c>
      <c r="MT102" s="12" t="s">
        <v>34</v>
      </c>
      <c r="MU102" s="12" t="s">
        <v>34</v>
      </c>
      <c r="MV102" s="12" t="s">
        <v>34</v>
      </c>
      <c r="MW102" s="12" t="s">
        <v>34</v>
      </c>
      <c r="MX102" s="12" t="s">
        <v>34</v>
      </c>
      <c r="MY102" s="28" t="s">
        <v>297</v>
      </c>
      <c r="MZ102" s="28" t="s">
        <v>296</v>
      </c>
      <c r="NA102" s="28" t="s">
        <v>297</v>
      </c>
      <c r="NB102" s="28" t="s">
        <v>296</v>
      </c>
      <c r="NC102" s="28" t="s">
        <v>297</v>
      </c>
      <c r="ND102" s="28" t="s">
        <v>297</v>
      </c>
      <c r="NE102" s="28" t="s">
        <v>297</v>
      </c>
      <c r="NF102" s="28" t="s">
        <v>297</v>
      </c>
      <c r="NG102" s="28" t="s">
        <v>297</v>
      </c>
      <c r="NH102" s="28" t="s">
        <v>297</v>
      </c>
      <c r="NI102" s="177" t="s">
        <v>297</v>
      </c>
      <c r="NJ102" s="177" t="s">
        <v>297</v>
      </c>
      <c r="NK102" s="177" t="s">
        <v>296</v>
      </c>
      <c r="NL102" s="177" t="s">
        <v>297</v>
      </c>
      <c r="NM102" s="177" t="s">
        <v>296</v>
      </c>
      <c r="NN102" s="177" t="s">
        <v>296</v>
      </c>
      <c r="NO102" s="177" t="s">
        <v>297</v>
      </c>
      <c r="NP102" s="177" t="s">
        <v>297</v>
      </c>
      <c r="NQ102" s="177" t="s">
        <v>296</v>
      </c>
      <c r="NR102" s="12" t="s">
        <v>34</v>
      </c>
      <c r="NS102" s="13" t="s">
        <v>34</v>
      </c>
    </row>
    <row r="103" spans="1:383" x14ac:dyDescent="0.25">
      <c r="A103" s="8" t="s">
        <v>246</v>
      </c>
      <c r="B103" s="9" t="s">
        <v>247</v>
      </c>
      <c r="C103" s="9">
        <v>1</v>
      </c>
      <c r="D103" s="9" t="s">
        <v>237</v>
      </c>
      <c r="E103" s="10">
        <v>79</v>
      </c>
      <c r="F103" s="10">
        <v>80</v>
      </c>
      <c r="G103" s="10">
        <v>74</v>
      </c>
      <c r="H103" s="10">
        <v>76</v>
      </c>
      <c r="I103" s="10">
        <v>47</v>
      </c>
      <c r="J103" s="11">
        <v>415</v>
      </c>
      <c r="K103" s="11">
        <v>449</v>
      </c>
      <c r="L103" s="11">
        <v>396</v>
      </c>
      <c r="M103" s="11">
        <v>356</v>
      </c>
      <c r="N103" s="11">
        <v>177</v>
      </c>
      <c r="O103" s="13">
        <v>11248</v>
      </c>
      <c r="P103" s="13">
        <v>12225</v>
      </c>
      <c r="Q103" s="13">
        <v>12499</v>
      </c>
      <c r="R103" s="13">
        <v>11156</v>
      </c>
      <c r="S103" s="13">
        <v>5568</v>
      </c>
      <c r="T103" s="12">
        <v>1660</v>
      </c>
      <c r="U103" s="12">
        <v>1978</v>
      </c>
      <c r="V103" s="12">
        <v>1447</v>
      </c>
      <c r="W103" s="12">
        <v>1185</v>
      </c>
      <c r="X103" s="12">
        <v>479</v>
      </c>
      <c r="Y103" s="12">
        <v>2.83</v>
      </c>
      <c r="Z103" s="12">
        <v>2.85</v>
      </c>
      <c r="AA103" s="12">
        <v>2.85</v>
      </c>
      <c r="AB103" s="13">
        <v>2.4900000000000002</v>
      </c>
      <c r="AC103" s="13">
        <v>2.5099999999999998</v>
      </c>
      <c r="AD103" s="13">
        <v>2.5099999999999998</v>
      </c>
      <c r="AE103" s="35" t="s">
        <v>258</v>
      </c>
      <c r="AF103" s="35" t="s">
        <v>258</v>
      </c>
      <c r="AG103" s="35" t="s">
        <v>258</v>
      </c>
      <c r="AH103" s="38">
        <v>1</v>
      </c>
      <c r="AI103" s="38">
        <v>1</v>
      </c>
      <c r="AJ103" s="38">
        <v>1</v>
      </c>
      <c r="AK103" s="45" t="s">
        <v>288</v>
      </c>
      <c r="AL103" s="45" t="s">
        <v>34</v>
      </c>
      <c r="AM103" s="45" t="s">
        <v>34</v>
      </c>
      <c r="AN103" s="45" t="s">
        <v>34</v>
      </c>
      <c r="AO103" s="45" t="s">
        <v>34</v>
      </c>
      <c r="AP103" s="45" t="s">
        <v>292</v>
      </c>
      <c r="AQ103" s="53" t="s">
        <v>297</v>
      </c>
      <c r="AR103" s="56">
        <v>115</v>
      </c>
      <c r="AS103" s="57">
        <v>95</v>
      </c>
      <c r="AT103" s="56">
        <v>69</v>
      </c>
      <c r="AU103" s="57">
        <v>46434</v>
      </c>
      <c r="AV103" s="57">
        <v>36968</v>
      </c>
      <c r="AW103" s="57">
        <v>34304</v>
      </c>
      <c r="AX103" s="57">
        <v>3</v>
      </c>
      <c r="AY103" s="57">
        <v>0</v>
      </c>
      <c r="AZ103" s="57">
        <v>0</v>
      </c>
      <c r="BA103" s="57">
        <v>10123</v>
      </c>
      <c r="BB103" s="57">
        <v>24211</v>
      </c>
      <c r="BC103" s="57">
        <v>18696</v>
      </c>
      <c r="BD103" s="57">
        <v>8636</v>
      </c>
      <c r="BE103" s="57">
        <v>20171</v>
      </c>
      <c r="BF103" s="57">
        <v>16132</v>
      </c>
      <c r="BG103" s="57">
        <v>7994</v>
      </c>
      <c r="BH103" s="57">
        <v>15499</v>
      </c>
      <c r="BI103" s="57">
        <v>12594</v>
      </c>
      <c r="BJ103" s="57" t="s">
        <v>297</v>
      </c>
      <c r="BK103" s="57">
        <v>34</v>
      </c>
      <c r="BL103" s="57">
        <v>0</v>
      </c>
      <c r="BM103" s="57">
        <v>0</v>
      </c>
      <c r="BN103" s="57">
        <v>2897</v>
      </c>
      <c r="BO103" s="57">
        <v>56</v>
      </c>
      <c r="BP103" s="57">
        <v>2521</v>
      </c>
      <c r="BQ103" s="76">
        <v>194</v>
      </c>
      <c r="BR103" s="76">
        <v>194</v>
      </c>
      <c r="BS103">
        <v>203</v>
      </c>
      <c r="BV103">
        <v>29840</v>
      </c>
      <c r="BW103">
        <v>29840</v>
      </c>
      <c r="BX103">
        <v>30066</v>
      </c>
      <c r="CA103">
        <v>79</v>
      </c>
      <c r="CB103">
        <v>79</v>
      </c>
      <c r="CC103">
        <v>74</v>
      </c>
      <c r="CD103">
        <v>82</v>
      </c>
      <c r="CE103">
        <v>46</v>
      </c>
      <c r="CF103">
        <v>12908</v>
      </c>
      <c r="CG103">
        <v>14203</v>
      </c>
      <c r="CH103">
        <v>13946</v>
      </c>
      <c r="CI103">
        <v>12341</v>
      </c>
      <c r="CJ103">
        <v>6047</v>
      </c>
      <c r="CK103" s="10">
        <v>15</v>
      </c>
      <c r="CL103" s="10">
        <v>15.1</v>
      </c>
      <c r="CM103" s="10">
        <v>15.1</v>
      </c>
      <c r="CN103" s="11">
        <v>11.4</v>
      </c>
      <c r="CO103" s="11">
        <v>11.4</v>
      </c>
      <c r="CP103" s="11">
        <v>11.4</v>
      </c>
      <c r="CQ103" s="13">
        <v>10</v>
      </c>
      <c r="CR103" s="13">
        <v>81</v>
      </c>
      <c r="CS103" s="13">
        <v>0</v>
      </c>
      <c r="CT103" s="10">
        <v>0</v>
      </c>
      <c r="CU103" s="10">
        <v>0</v>
      </c>
      <c r="CV103" s="10">
        <v>0</v>
      </c>
      <c r="CW103" s="10">
        <v>1</v>
      </c>
      <c r="CX103" s="10">
        <v>1</v>
      </c>
      <c r="CY103" s="10">
        <v>0</v>
      </c>
      <c r="CZ103" s="10">
        <v>0</v>
      </c>
      <c r="DA103" s="10">
        <v>0</v>
      </c>
      <c r="DB103" s="10">
        <v>0</v>
      </c>
      <c r="DC103" s="10">
        <v>0</v>
      </c>
      <c r="DD103" s="10">
        <v>0</v>
      </c>
      <c r="DE103" s="10">
        <v>0</v>
      </c>
      <c r="DF103" s="10">
        <v>0</v>
      </c>
      <c r="DG103" s="10">
        <v>0</v>
      </c>
      <c r="DH103" s="10">
        <v>0</v>
      </c>
      <c r="DI103" s="81">
        <v>0</v>
      </c>
      <c r="DJ103" s="81">
        <v>0</v>
      </c>
      <c r="DK103" s="81">
        <v>0</v>
      </c>
      <c r="DL103" s="81">
        <v>0</v>
      </c>
      <c r="DM103" s="81">
        <v>0</v>
      </c>
      <c r="DN103" s="12">
        <v>0</v>
      </c>
      <c r="DO103" s="12">
        <v>0</v>
      </c>
      <c r="DP103" s="12">
        <v>1</v>
      </c>
      <c r="DQ103" s="12">
        <v>0</v>
      </c>
      <c r="DR103" s="12">
        <v>0</v>
      </c>
      <c r="DS103" s="12">
        <v>0</v>
      </c>
      <c r="DT103" s="12">
        <v>0</v>
      </c>
      <c r="DU103" s="12">
        <v>0</v>
      </c>
      <c r="DV103" s="12">
        <v>0</v>
      </c>
      <c r="DW103" s="12">
        <v>9</v>
      </c>
      <c r="DX103" s="12">
        <v>0</v>
      </c>
      <c r="DY103" s="12">
        <v>0</v>
      </c>
      <c r="DZ103" s="12">
        <v>0</v>
      </c>
      <c r="EA103" s="12">
        <v>0</v>
      </c>
      <c r="EB103" s="12">
        <v>0</v>
      </c>
      <c r="EC103" s="12">
        <v>0</v>
      </c>
      <c r="ED103" s="12">
        <v>10</v>
      </c>
      <c r="EE103" s="12">
        <v>0</v>
      </c>
      <c r="EF103" s="12">
        <v>0</v>
      </c>
      <c r="EG103" s="12">
        <v>0</v>
      </c>
      <c r="EH103" s="12">
        <v>0</v>
      </c>
      <c r="EI103" s="12">
        <v>0</v>
      </c>
      <c r="EJ103" s="12">
        <v>0</v>
      </c>
      <c r="EK103" s="12">
        <v>0</v>
      </c>
      <c r="EL103" s="12">
        <v>0</v>
      </c>
      <c r="EM103" s="12">
        <v>0</v>
      </c>
      <c r="EN103" s="12">
        <v>0</v>
      </c>
      <c r="EO103" s="12">
        <v>0</v>
      </c>
      <c r="EP103" s="12">
        <v>0</v>
      </c>
      <c r="EQ103" s="12">
        <v>0</v>
      </c>
      <c r="ER103" s="12">
        <v>0</v>
      </c>
      <c r="ES103" s="13">
        <v>17</v>
      </c>
      <c r="ET103" s="13">
        <v>69</v>
      </c>
      <c r="EU103" s="13">
        <v>0</v>
      </c>
      <c r="EV103" s="10">
        <v>0</v>
      </c>
      <c r="EW103" s="10">
        <v>0</v>
      </c>
      <c r="EX103" s="10">
        <v>0</v>
      </c>
      <c r="EY103" s="10">
        <v>1</v>
      </c>
      <c r="EZ103" s="10">
        <v>0</v>
      </c>
      <c r="FA103" s="10">
        <v>0</v>
      </c>
      <c r="FB103" s="10">
        <v>0</v>
      </c>
      <c r="FC103" s="10">
        <v>0</v>
      </c>
      <c r="FD103" s="10">
        <v>0</v>
      </c>
      <c r="FE103" s="10">
        <v>0</v>
      </c>
      <c r="FF103" s="10">
        <v>0</v>
      </c>
      <c r="FG103" s="10">
        <v>0</v>
      </c>
      <c r="FH103" s="10">
        <v>0</v>
      </c>
      <c r="FI103" s="10">
        <v>0</v>
      </c>
      <c r="FJ103" s="10">
        <v>0</v>
      </c>
      <c r="FK103" s="81">
        <v>0</v>
      </c>
      <c r="FL103" s="81">
        <v>0</v>
      </c>
      <c r="FM103" s="81">
        <v>0</v>
      </c>
      <c r="FN103" s="81">
        <v>0</v>
      </c>
      <c r="FO103" s="81">
        <v>0</v>
      </c>
      <c r="FP103" s="12">
        <v>0</v>
      </c>
      <c r="FQ103" s="12">
        <v>0</v>
      </c>
      <c r="FR103" s="12">
        <v>2</v>
      </c>
      <c r="FS103" s="12">
        <v>0</v>
      </c>
      <c r="FT103" s="12">
        <v>0</v>
      </c>
      <c r="FU103" s="12">
        <v>0</v>
      </c>
      <c r="FV103" s="12">
        <v>0</v>
      </c>
      <c r="FW103" s="12">
        <v>0</v>
      </c>
      <c r="FX103" s="12">
        <v>0</v>
      </c>
      <c r="FY103" s="12">
        <v>2</v>
      </c>
      <c r="FZ103" s="12">
        <v>1</v>
      </c>
      <c r="GA103" s="12">
        <v>0</v>
      </c>
      <c r="GB103" s="12">
        <v>0</v>
      </c>
      <c r="GC103" s="12">
        <v>0</v>
      </c>
      <c r="GD103" s="12">
        <v>0</v>
      </c>
      <c r="GE103" s="12">
        <v>0</v>
      </c>
      <c r="GF103" s="12">
        <v>0</v>
      </c>
      <c r="GG103" s="12">
        <v>0</v>
      </c>
      <c r="GH103" s="12">
        <v>1</v>
      </c>
      <c r="GI103" s="12">
        <v>0</v>
      </c>
      <c r="GJ103" s="12">
        <v>0</v>
      </c>
      <c r="GK103" s="12">
        <v>0</v>
      </c>
      <c r="GL103" s="12">
        <v>0</v>
      </c>
      <c r="GM103" s="12">
        <v>0</v>
      </c>
      <c r="GN103" s="12">
        <v>0</v>
      </c>
      <c r="GO103" s="12">
        <v>0</v>
      </c>
      <c r="GP103" s="12">
        <v>0</v>
      </c>
      <c r="GQ103" s="12">
        <v>0</v>
      </c>
      <c r="GR103" s="12">
        <v>0</v>
      </c>
      <c r="GS103" s="12">
        <v>1</v>
      </c>
      <c r="GT103" s="12">
        <v>0</v>
      </c>
      <c r="GU103" s="13">
        <v>95</v>
      </c>
      <c r="GV103" s="13">
        <v>35</v>
      </c>
      <c r="GW103" s="13">
        <v>15</v>
      </c>
      <c r="GX103" s="13">
        <v>0</v>
      </c>
      <c r="GY103" s="10">
        <v>0</v>
      </c>
      <c r="GZ103" s="10">
        <v>0</v>
      </c>
      <c r="HA103" s="10">
        <v>0</v>
      </c>
      <c r="HB103" s="10">
        <v>0</v>
      </c>
      <c r="HC103" s="10">
        <v>2</v>
      </c>
      <c r="HD103" s="10">
        <v>0</v>
      </c>
      <c r="HE103" s="10">
        <v>0</v>
      </c>
      <c r="HF103" s="10">
        <v>0</v>
      </c>
      <c r="HG103" s="10">
        <v>0</v>
      </c>
      <c r="HH103" s="10">
        <v>0</v>
      </c>
      <c r="HI103" s="10">
        <v>0</v>
      </c>
      <c r="HJ103" s="10">
        <v>0</v>
      </c>
      <c r="HK103" s="10">
        <v>0</v>
      </c>
      <c r="HL103" s="10">
        <v>0</v>
      </c>
      <c r="HM103" s="10">
        <v>0</v>
      </c>
      <c r="HN103" s="81">
        <v>0</v>
      </c>
      <c r="HO103" s="81">
        <v>0</v>
      </c>
      <c r="HP103" s="81">
        <v>0</v>
      </c>
      <c r="HQ103" s="81">
        <v>0</v>
      </c>
      <c r="HR103" s="81">
        <v>0</v>
      </c>
      <c r="HS103" s="12">
        <v>32</v>
      </c>
      <c r="HT103" s="12">
        <v>0</v>
      </c>
      <c r="HU103" s="12">
        <v>2</v>
      </c>
      <c r="HV103" s="12">
        <v>32</v>
      </c>
      <c r="HW103" s="12">
        <v>0</v>
      </c>
      <c r="HX103" s="12">
        <v>0</v>
      </c>
      <c r="HY103" s="12">
        <v>0</v>
      </c>
      <c r="HZ103" s="12">
        <v>0</v>
      </c>
      <c r="IA103" s="12">
        <v>0</v>
      </c>
      <c r="IB103" s="12">
        <v>35</v>
      </c>
      <c r="IC103" s="12">
        <v>32</v>
      </c>
      <c r="ID103" s="12">
        <v>0</v>
      </c>
      <c r="IE103" s="12">
        <v>32</v>
      </c>
      <c r="IF103" s="12">
        <v>0</v>
      </c>
      <c r="IG103" s="12">
        <v>0</v>
      </c>
      <c r="IH103" s="12">
        <v>0</v>
      </c>
      <c r="II103" s="12">
        <v>1</v>
      </c>
      <c r="IJ103" s="12">
        <v>0</v>
      </c>
      <c r="IK103" s="12">
        <v>0</v>
      </c>
      <c r="IL103" s="12">
        <v>0</v>
      </c>
      <c r="IM103" s="12">
        <v>0</v>
      </c>
      <c r="IN103" s="12">
        <v>0</v>
      </c>
      <c r="IO103" s="12">
        <v>0</v>
      </c>
      <c r="IP103" s="12">
        <v>0</v>
      </c>
      <c r="IQ103" s="12">
        <v>0</v>
      </c>
      <c r="IR103" s="12">
        <v>0</v>
      </c>
      <c r="IS103" s="12">
        <v>1</v>
      </c>
      <c r="IT103" s="12">
        <v>0</v>
      </c>
      <c r="IU103" s="12">
        <v>0</v>
      </c>
      <c r="IV103" s="12">
        <v>32</v>
      </c>
      <c r="IW103" s="12">
        <v>0</v>
      </c>
      <c r="IX103" s="11">
        <v>11732</v>
      </c>
      <c r="IY103" s="11">
        <v>0</v>
      </c>
      <c r="IZ103" s="11">
        <v>150840</v>
      </c>
      <c r="JA103" s="85" t="s">
        <v>602</v>
      </c>
      <c r="JB103" s="85">
        <v>0</v>
      </c>
      <c r="JC103" s="85">
        <v>0</v>
      </c>
      <c r="JD103" s="12">
        <v>12</v>
      </c>
      <c r="JE103" s="12">
        <v>10</v>
      </c>
      <c r="JF103" s="12">
        <v>9</v>
      </c>
      <c r="JG103" s="12">
        <v>2</v>
      </c>
      <c r="JH103" s="12">
        <v>9</v>
      </c>
      <c r="JI103" s="12">
        <v>2</v>
      </c>
      <c r="JJ103" s="13" t="s">
        <v>619</v>
      </c>
      <c r="JK103" s="13" t="s">
        <v>619</v>
      </c>
      <c r="JL103" s="13" t="s">
        <v>297</v>
      </c>
      <c r="JM103" s="89"/>
      <c r="JN103" s="89"/>
      <c r="JO103" s="89" t="s">
        <v>296</v>
      </c>
      <c r="JP103" s="89"/>
      <c r="JQ103" s="89"/>
      <c r="JR103" s="89" t="s">
        <v>296</v>
      </c>
      <c r="JS103" s="89" t="s">
        <v>619</v>
      </c>
      <c r="JT103" s="89" t="s">
        <v>619</v>
      </c>
      <c r="JU103" s="89" t="s">
        <v>296</v>
      </c>
      <c r="JV103" s="89"/>
      <c r="JW103" s="89"/>
      <c r="JX103" s="89" t="s">
        <v>297</v>
      </c>
      <c r="JY103" s="12" t="s">
        <v>619</v>
      </c>
      <c r="JZ103" s="12" t="s">
        <v>34</v>
      </c>
      <c r="KA103" s="12" t="s">
        <v>619</v>
      </c>
      <c r="KB103" s="12" t="s">
        <v>34</v>
      </c>
      <c r="KC103" s="12" t="s">
        <v>619</v>
      </c>
      <c r="KD103" s="12" t="s">
        <v>619</v>
      </c>
      <c r="KE103" s="12" t="s">
        <v>34</v>
      </c>
      <c r="KF103" s="12"/>
      <c r="KG103" s="12" t="s">
        <v>34</v>
      </c>
      <c r="KH103" s="12" t="s">
        <v>34</v>
      </c>
      <c r="KI103" s="12" t="s">
        <v>34</v>
      </c>
      <c r="KJ103" s="12" t="s">
        <v>34</v>
      </c>
      <c r="KK103" s="12" t="s">
        <v>34</v>
      </c>
      <c r="KL103" s="12" t="s">
        <v>34</v>
      </c>
      <c r="KM103" s="12" t="s">
        <v>34</v>
      </c>
      <c r="KN103" s="12" t="s">
        <v>619</v>
      </c>
      <c r="KO103" s="12" t="s">
        <v>619</v>
      </c>
      <c r="KP103" s="12" t="s">
        <v>34</v>
      </c>
      <c r="KQ103" s="12" t="s">
        <v>34</v>
      </c>
      <c r="KR103" s="12" t="s">
        <v>34</v>
      </c>
      <c r="KS103" s="12" t="s">
        <v>34</v>
      </c>
      <c r="KT103" s="12" t="s">
        <v>34</v>
      </c>
      <c r="KU103" s="12" t="s">
        <v>34</v>
      </c>
      <c r="KV103" s="12" t="s">
        <v>34</v>
      </c>
      <c r="KW103" s="12" t="s">
        <v>34</v>
      </c>
      <c r="KX103" s="12" t="s">
        <v>34</v>
      </c>
      <c r="KY103" s="12" t="s">
        <v>34</v>
      </c>
      <c r="KZ103" s="12" t="s">
        <v>34</v>
      </c>
      <c r="LA103" s="12" t="s">
        <v>34</v>
      </c>
      <c r="LB103" s="12" t="s">
        <v>619</v>
      </c>
      <c r="LC103" s="12" t="s">
        <v>34</v>
      </c>
      <c r="LD103" s="12" t="s">
        <v>619</v>
      </c>
      <c r="LE103" s="12" t="s">
        <v>34</v>
      </c>
      <c r="LF103" s="12" t="s">
        <v>34</v>
      </c>
      <c r="LG103" s="12" t="s">
        <v>34</v>
      </c>
      <c r="LH103" s="12" t="s">
        <v>34</v>
      </c>
      <c r="LI103" s="12" t="s">
        <v>34</v>
      </c>
      <c r="LJ103" s="12" t="s">
        <v>34</v>
      </c>
      <c r="LK103" s="12" t="s">
        <v>34</v>
      </c>
      <c r="LL103" s="13" t="s">
        <v>619</v>
      </c>
      <c r="LM103" s="13" t="s">
        <v>34</v>
      </c>
      <c r="LN103" s="13" t="s">
        <v>34</v>
      </c>
      <c r="LO103" s="13" t="s">
        <v>34</v>
      </c>
      <c r="LP103" s="90" t="s">
        <v>619</v>
      </c>
      <c r="LQ103" s="13" t="s">
        <v>34</v>
      </c>
      <c r="LR103" s="13" t="s">
        <v>34</v>
      </c>
      <c r="LS103" s="13"/>
      <c r="LT103" s="13" t="s">
        <v>34</v>
      </c>
      <c r="LU103" s="13" t="s">
        <v>34</v>
      </c>
      <c r="LV103" s="13" t="s">
        <v>34</v>
      </c>
      <c r="LW103" s="13" t="s">
        <v>34</v>
      </c>
      <c r="LX103" s="13" t="s">
        <v>34</v>
      </c>
      <c r="LY103" s="13" t="s">
        <v>34</v>
      </c>
      <c r="LZ103" s="13" t="s">
        <v>34</v>
      </c>
      <c r="MA103" s="13" t="s">
        <v>34</v>
      </c>
      <c r="MB103" s="13" t="s">
        <v>34</v>
      </c>
      <c r="MC103" s="13" t="s">
        <v>34</v>
      </c>
      <c r="MD103" s="13" t="s">
        <v>34</v>
      </c>
      <c r="ME103" s="13" t="s">
        <v>34</v>
      </c>
      <c r="MF103" s="13" t="s">
        <v>34</v>
      </c>
      <c r="MG103" s="13" t="s">
        <v>34</v>
      </c>
      <c r="MH103" s="13" t="s">
        <v>34</v>
      </c>
      <c r="MI103" s="13" t="s">
        <v>34</v>
      </c>
      <c r="MJ103" s="13" t="s">
        <v>34</v>
      </c>
      <c r="MK103" s="13" t="s">
        <v>34</v>
      </c>
      <c r="ML103" s="13" t="s">
        <v>34</v>
      </c>
      <c r="MM103" s="13" t="s">
        <v>34</v>
      </c>
      <c r="MN103" s="13" t="s">
        <v>34</v>
      </c>
      <c r="MO103" s="13" t="s">
        <v>34</v>
      </c>
      <c r="MP103" s="13" t="s">
        <v>34</v>
      </c>
      <c r="MQ103" s="13" t="s">
        <v>619</v>
      </c>
      <c r="MR103" s="13" t="s">
        <v>34</v>
      </c>
      <c r="MS103" s="13" t="s">
        <v>34</v>
      </c>
      <c r="MT103" s="13" t="s">
        <v>34</v>
      </c>
      <c r="MU103" s="13" t="s">
        <v>34</v>
      </c>
      <c r="MV103" s="13" t="s">
        <v>34</v>
      </c>
      <c r="MW103" s="13" t="s">
        <v>34</v>
      </c>
      <c r="MX103" s="13" t="s">
        <v>34</v>
      </c>
      <c r="MY103" s="28" t="s">
        <v>296</v>
      </c>
      <c r="MZ103" s="28" t="s">
        <v>296</v>
      </c>
      <c r="NA103" s="28" t="s">
        <v>296</v>
      </c>
      <c r="NB103" s="28" t="s">
        <v>296</v>
      </c>
      <c r="NC103" s="28" t="s">
        <v>296</v>
      </c>
      <c r="ND103" s="28" t="s">
        <v>296</v>
      </c>
      <c r="NE103" s="28" t="s">
        <v>296</v>
      </c>
      <c r="NF103" s="28" t="s">
        <v>296</v>
      </c>
      <c r="NG103" s="28" t="s">
        <v>297</v>
      </c>
      <c r="NH103" s="28" t="s">
        <v>297</v>
      </c>
      <c r="NI103" s="177" t="s">
        <v>296</v>
      </c>
      <c r="NJ103" s="177" t="s">
        <v>297</v>
      </c>
      <c r="NK103" s="177" t="s">
        <v>296</v>
      </c>
      <c r="NL103" s="177" t="s">
        <v>296</v>
      </c>
      <c r="NM103" s="177" t="s">
        <v>296</v>
      </c>
      <c r="NN103" s="177" t="s">
        <v>296</v>
      </c>
      <c r="NO103" s="177" t="s">
        <v>296</v>
      </c>
      <c r="NP103" s="177" t="s">
        <v>296</v>
      </c>
      <c r="NQ103" s="177" t="s">
        <v>296</v>
      </c>
      <c r="NR103" s="12" t="s">
        <v>619</v>
      </c>
      <c r="NS103" s="13" t="s">
        <v>34</v>
      </c>
    </row>
    <row r="104" spans="1:383" x14ac:dyDescent="0.25">
      <c r="A104" s="8" t="s">
        <v>248</v>
      </c>
      <c r="B104" s="9" t="s">
        <v>249</v>
      </c>
      <c r="C104" s="9">
        <v>1</v>
      </c>
      <c r="D104" s="9" t="s">
        <v>237</v>
      </c>
      <c r="E104" s="18">
        <v>8</v>
      </c>
      <c r="F104" s="18">
        <v>8</v>
      </c>
      <c r="G104" s="18">
        <v>8</v>
      </c>
      <c r="H104" s="18">
        <v>8</v>
      </c>
      <c r="I104" s="18">
        <v>8</v>
      </c>
      <c r="J104" s="11">
        <v>328</v>
      </c>
      <c r="K104" s="11">
        <v>542</v>
      </c>
      <c r="L104" s="11">
        <v>542</v>
      </c>
      <c r="M104" s="11">
        <v>480</v>
      </c>
      <c r="N104" s="11">
        <v>480</v>
      </c>
      <c r="O104" s="13">
        <v>4534</v>
      </c>
      <c r="P104" s="13">
        <v>7935</v>
      </c>
      <c r="Q104" s="13">
        <v>7935</v>
      </c>
      <c r="R104" s="13">
        <v>6660</v>
      </c>
      <c r="S104" s="13">
        <v>7065</v>
      </c>
      <c r="T104" s="12">
        <v>552</v>
      </c>
      <c r="U104" s="12">
        <v>1413</v>
      </c>
      <c r="V104" s="12">
        <v>1413</v>
      </c>
      <c r="W104" s="12">
        <v>1731</v>
      </c>
      <c r="X104" s="12">
        <v>1266</v>
      </c>
      <c r="Y104" s="12">
        <v>5.21</v>
      </c>
      <c r="Z104" s="12">
        <v>5.23</v>
      </c>
      <c r="AA104" s="12">
        <v>5.23</v>
      </c>
      <c r="AB104" s="13">
        <v>4.87</v>
      </c>
      <c r="AC104" s="13">
        <v>4.8899999999999997</v>
      </c>
      <c r="AD104" s="13">
        <v>4.8899999999999997</v>
      </c>
      <c r="AE104" s="35" t="s">
        <v>319</v>
      </c>
      <c r="AF104" s="35" t="s">
        <v>271</v>
      </c>
      <c r="AG104" s="37" t="s">
        <v>259</v>
      </c>
      <c r="AH104" s="39" t="s">
        <v>319</v>
      </c>
      <c r="AI104" s="39">
        <v>1</v>
      </c>
      <c r="AJ104" s="39">
        <v>0.5</v>
      </c>
      <c r="AK104" s="45" t="s">
        <v>34</v>
      </c>
      <c r="AL104" s="45" t="s">
        <v>34</v>
      </c>
      <c r="AM104" s="45" t="s">
        <v>34</v>
      </c>
      <c r="AN104" s="45" t="s">
        <v>34</v>
      </c>
      <c r="AO104" s="45" t="s">
        <v>34</v>
      </c>
      <c r="AP104" s="45" t="s">
        <v>34</v>
      </c>
      <c r="AQ104" s="53" t="s">
        <v>297</v>
      </c>
      <c r="AR104" s="56">
        <v>0</v>
      </c>
      <c r="AS104" s="57">
        <v>0</v>
      </c>
      <c r="AT104" s="56">
        <v>9</v>
      </c>
      <c r="AU104" s="57">
        <v>0</v>
      </c>
      <c r="AV104" s="57">
        <v>0</v>
      </c>
      <c r="AW104" s="57">
        <v>1041</v>
      </c>
      <c r="AX104" s="57">
        <v>0</v>
      </c>
      <c r="AY104" s="57">
        <v>0</v>
      </c>
      <c r="AZ104" s="57">
        <v>4</v>
      </c>
      <c r="BA104" s="57">
        <v>0</v>
      </c>
      <c r="BB104" s="57">
        <v>0</v>
      </c>
      <c r="BC104" s="57">
        <v>0</v>
      </c>
      <c r="BD104" s="57">
        <v>0</v>
      </c>
      <c r="BE104" s="57">
        <v>0</v>
      </c>
      <c r="BF104" s="57">
        <v>0</v>
      </c>
      <c r="BG104" s="57">
        <v>0</v>
      </c>
      <c r="BH104" s="57">
        <v>695</v>
      </c>
      <c r="BI104" s="57">
        <v>246</v>
      </c>
      <c r="BJ104" s="57" t="s">
        <v>297</v>
      </c>
      <c r="BK104" s="57">
        <v>0</v>
      </c>
      <c r="BL104" s="57">
        <v>0</v>
      </c>
      <c r="BM104" s="57">
        <v>0</v>
      </c>
      <c r="BN104" s="57">
        <v>1000</v>
      </c>
      <c r="BO104" s="57">
        <v>0</v>
      </c>
      <c r="BP104" s="57">
        <v>575</v>
      </c>
      <c r="BQ104" s="76">
        <v>192</v>
      </c>
      <c r="BR104" s="76">
        <v>192</v>
      </c>
      <c r="BS104">
        <v>183</v>
      </c>
      <c r="BV104">
        <v>26825</v>
      </c>
      <c r="BW104">
        <v>26825</v>
      </c>
      <c r="BX104">
        <v>26823</v>
      </c>
      <c r="CA104">
        <v>103</v>
      </c>
      <c r="CB104">
        <v>102</v>
      </c>
      <c r="CC104" t="s">
        <v>350</v>
      </c>
      <c r="CD104">
        <v>96</v>
      </c>
      <c r="CE104">
        <v>84</v>
      </c>
      <c r="CF104">
        <v>5086</v>
      </c>
      <c r="CG104">
        <v>9348</v>
      </c>
      <c r="CH104">
        <v>9348</v>
      </c>
      <c r="CI104">
        <v>8391</v>
      </c>
      <c r="CJ104">
        <v>8331</v>
      </c>
      <c r="CK104" s="10">
        <v>15</v>
      </c>
      <c r="CL104" s="10">
        <v>15.1</v>
      </c>
      <c r="CM104" s="10">
        <v>15.1</v>
      </c>
      <c r="CN104" s="11">
        <v>14.03</v>
      </c>
      <c r="CO104" s="11">
        <v>14.03</v>
      </c>
      <c r="CP104" s="11">
        <v>14.03</v>
      </c>
      <c r="CQ104" s="13">
        <v>0</v>
      </c>
      <c r="CR104" s="13">
        <v>0</v>
      </c>
      <c r="CS104" s="13">
        <v>0</v>
      </c>
      <c r="CT104" s="10">
        <v>0</v>
      </c>
      <c r="CU104" s="10">
        <v>0</v>
      </c>
      <c r="CV104" s="10">
        <v>0</v>
      </c>
      <c r="CW104" s="10">
        <v>0</v>
      </c>
      <c r="CX104" s="10">
        <v>0</v>
      </c>
      <c r="CY104" s="10">
        <v>0</v>
      </c>
      <c r="CZ104" s="10">
        <v>0</v>
      </c>
      <c r="DA104" s="10">
        <v>0</v>
      </c>
      <c r="DB104" s="10">
        <v>0</v>
      </c>
      <c r="DC104" s="10">
        <v>0</v>
      </c>
      <c r="DD104" s="10">
        <v>0</v>
      </c>
      <c r="DE104" s="10">
        <v>0</v>
      </c>
      <c r="DF104" s="10">
        <v>0</v>
      </c>
      <c r="DG104" s="10">
        <v>0</v>
      </c>
      <c r="DH104" s="10">
        <v>0</v>
      </c>
      <c r="DI104" s="81">
        <v>0</v>
      </c>
      <c r="DJ104" s="81">
        <v>0</v>
      </c>
      <c r="DK104" s="81">
        <v>0</v>
      </c>
      <c r="DL104" s="81">
        <v>0</v>
      </c>
      <c r="DM104" s="81">
        <v>0</v>
      </c>
      <c r="DN104" s="12">
        <v>0</v>
      </c>
      <c r="DO104" s="12">
        <v>0</v>
      </c>
      <c r="DP104" s="12">
        <v>0</v>
      </c>
      <c r="DQ104" s="12">
        <v>0</v>
      </c>
      <c r="DR104" s="12">
        <v>0</v>
      </c>
      <c r="DS104" s="12">
        <v>0</v>
      </c>
      <c r="DT104" s="12">
        <v>0</v>
      </c>
      <c r="DU104" s="12">
        <v>0</v>
      </c>
      <c r="DV104" s="12">
        <v>0</v>
      </c>
      <c r="DW104" s="12">
        <v>0</v>
      </c>
      <c r="DX104" s="12">
        <v>0</v>
      </c>
      <c r="DY104" s="12">
        <v>0</v>
      </c>
      <c r="DZ104" s="12">
        <v>0</v>
      </c>
      <c r="EA104" s="12">
        <v>0</v>
      </c>
      <c r="EB104" s="12">
        <v>0</v>
      </c>
      <c r="EC104" s="12">
        <v>0</v>
      </c>
      <c r="ED104" s="12">
        <v>0</v>
      </c>
      <c r="EE104" s="12">
        <v>0</v>
      </c>
      <c r="EF104" s="12">
        <v>0</v>
      </c>
      <c r="EG104" s="12">
        <v>0</v>
      </c>
      <c r="EH104" s="12">
        <v>0</v>
      </c>
      <c r="EI104" s="12">
        <v>0</v>
      </c>
      <c r="EJ104" s="12">
        <v>0</v>
      </c>
      <c r="EK104" s="12">
        <v>0</v>
      </c>
      <c r="EL104" s="12">
        <v>0</v>
      </c>
      <c r="EM104" s="12">
        <v>0</v>
      </c>
      <c r="EN104" s="12">
        <v>0</v>
      </c>
      <c r="EO104" s="12">
        <v>0</v>
      </c>
      <c r="EP104" s="12">
        <v>0</v>
      </c>
      <c r="EQ104" s="12">
        <v>0</v>
      </c>
      <c r="ER104" s="12">
        <v>0</v>
      </c>
      <c r="ES104" s="13">
        <v>0</v>
      </c>
      <c r="ET104" s="13">
        <v>0</v>
      </c>
      <c r="EU104" s="13">
        <v>0</v>
      </c>
      <c r="EV104" s="10">
        <v>0</v>
      </c>
      <c r="EW104" s="10">
        <v>0</v>
      </c>
      <c r="EX104" s="10">
        <v>0</v>
      </c>
      <c r="EY104" s="10">
        <v>0</v>
      </c>
      <c r="EZ104" s="10">
        <v>0</v>
      </c>
      <c r="FA104" s="10">
        <v>0</v>
      </c>
      <c r="FB104" s="10">
        <v>0</v>
      </c>
      <c r="FC104" s="10">
        <v>0</v>
      </c>
      <c r="FD104" s="10">
        <v>0</v>
      </c>
      <c r="FE104" s="10">
        <v>0</v>
      </c>
      <c r="FF104" s="10">
        <v>0</v>
      </c>
      <c r="FG104" s="10">
        <v>0</v>
      </c>
      <c r="FH104" s="10">
        <v>0</v>
      </c>
      <c r="FI104" s="10">
        <v>0</v>
      </c>
      <c r="FJ104" s="10">
        <v>0</v>
      </c>
      <c r="FK104" s="81">
        <v>0</v>
      </c>
      <c r="FL104" s="81">
        <v>0</v>
      </c>
      <c r="FM104" s="81">
        <v>0</v>
      </c>
      <c r="FN104" s="81">
        <v>0</v>
      </c>
      <c r="FO104" s="81">
        <v>0</v>
      </c>
      <c r="FP104" s="12">
        <v>0</v>
      </c>
      <c r="FQ104" s="12">
        <v>0</v>
      </c>
      <c r="FR104" s="12">
        <v>0</v>
      </c>
      <c r="FS104" s="12">
        <v>0</v>
      </c>
      <c r="FT104" s="12">
        <v>0</v>
      </c>
      <c r="FU104" s="12">
        <v>0</v>
      </c>
      <c r="FV104" s="12">
        <v>0</v>
      </c>
      <c r="FW104" s="12">
        <v>0</v>
      </c>
      <c r="FX104" s="12">
        <v>0</v>
      </c>
      <c r="FY104" s="12">
        <v>0</v>
      </c>
      <c r="FZ104" s="12">
        <v>0</v>
      </c>
      <c r="GA104" s="12">
        <v>0</v>
      </c>
      <c r="GB104" s="12">
        <v>0</v>
      </c>
      <c r="GC104" s="12">
        <v>0</v>
      </c>
      <c r="GD104" s="12">
        <v>0</v>
      </c>
      <c r="GE104" s="12">
        <v>0</v>
      </c>
      <c r="GF104" s="12">
        <v>0</v>
      </c>
      <c r="GG104" s="12">
        <v>0</v>
      </c>
      <c r="GH104" s="12">
        <v>0</v>
      </c>
      <c r="GI104" s="12">
        <v>0</v>
      </c>
      <c r="GJ104" s="12">
        <v>0</v>
      </c>
      <c r="GK104" s="12">
        <v>0</v>
      </c>
      <c r="GL104" s="12">
        <v>0</v>
      </c>
      <c r="GM104" s="12">
        <v>0</v>
      </c>
      <c r="GN104" s="12">
        <v>0</v>
      </c>
      <c r="GO104" s="12">
        <v>0</v>
      </c>
      <c r="GP104" s="12">
        <v>0</v>
      </c>
      <c r="GQ104" s="12">
        <v>0</v>
      </c>
      <c r="GR104" s="12">
        <v>0</v>
      </c>
      <c r="GS104" s="12">
        <v>0</v>
      </c>
      <c r="GT104" s="12">
        <v>0</v>
      </c>
      <c r="GU104" s="13">
        <v>0</v>
      </c>
      <c r="GV104" s="13">
        <v>1</v>
      </c>
      <c r="GW104" s="13">
        <v>4</v>
      </c>
      <c r="GX104" s="13">
        <v>0</v>
      </c>
      <c r="GY104" s="10">
        <v>0</v>
      </c>
      <c r="GZ104" s="10">
        <v>0</v>
      </c>
      <c r="HA104" s="10">
        <v>0</v>
      </c>
      <c r="HB104" s="10">
        <v>0</v>
      </c>
      <c r="HC104" s="10">
        <v>0</v>
      </c>
      <c r="HD104" s="10">
        <v>0</v>
      </c>
      <c r="HE104" s="10">
        <v>0</v>
      </c>
      <c r="HF104" s="10">
        <v>0</v>
      </c>
      <c r="HG104" s="10">
        <v>0</v>
      </c>
      <c r="HH104" s="10">
        <v>0</v>
      </c>
      <c r="HI104" s="10">
        <v>0</v>
      </c>
      <c r="HJ104" s="10">
        <v>0</v>
      </c>
      <c r="HK104" s="10">
        <v>0</v>
      </c>
      <c r="HL104" s="10">
        <v>0</v>
      </c>
      <c r="HM104" s="10">
        <v>0</v>
      </c>
      <c r="HN104" s="81">
        <v>0</v>
      </c>
      <c r="HO104" s="81">
        <v>0</v>
      </c>
      <c r="HP104" s="81">
        <v>0</v>
      </c>
      <c r="HQ104" s="81">
        <v>0</v>
      </c>
      <c r="HR104" s="81">
        <v>0</v>
      </c>
      <c r="HS104" s="12">
        <v>0</v>
      </c>
      <c r="HT104" s="12">
        <v>0</v>
      </c>
      <c r="HU104" s="12">
        <v>0</v>
      </c>
      <c r="HV104" s="12">
        <v>0</v>
      </c>
      <c r="HW104" s="12">
        <v>0</v>
      </c>
      <c r="HX104" s="12">
        <v>0</v>
      </c>
      <c r="HY104" s="12">
        <v>0</v>
      </c>
      <c r="HZ104" s="12">
        <v>0</v>
      </c>
      <c r="IA104" s="12">
        <v>1</v>
      </c>
      <c r="IB104" s="12">
        <v>0</v>
      </c>
      <c r="IC104" s="12">
        <v>0</v>
      </c>
      <c r="ID104" s="12">
        <v>0</v>
      </c>
      <c r="IE104" s="12">
        <v>0</v>
      </c>
      <c r="IF104" s="12">
        <v>0</v>
      </c>
      <c r="IG104" s="12">
        <v>1</v>
      </c>
      <c r="IH104" s="12">
        <v>0</v>
      </c>
      <c r="II104" s="12">
        <v>0</v>
      </c>
      <c r="IJ104" s="12">
        <v>0</v>
      </c>
      <c r="IK104" s="12">
        <v>0</v>
      </c>
      <c r="IL104" s="12">
        <v>0</v>
      </c>
      <c r="IM104" s="12">
        <v>0</v>
      </c>
      <c r="IN104" s="12">
        <v>0</v>
      </c>
      <c r="IO104" s="12">
        <v>0</v>
      </c>
      <c r="IP104" s="12">
        <v>0</v>
      </c>
      <c r="IQ104" s="12">
        <v>0</v>
      </c>
      <c r="IR104" s="12">
        <v>0</v>
      </c>
      <c r="IS104" s="12">
        <v>0</v>
      </c>
      <c r="IT104" s="12">
        <v>0</v>
      </c>
      <c r="IU104" s="12">
        <v>0</v>
      </c>
      <c r="IV104" s="12">
        <v>0</v>
      </c>
      <c r="IW104" s="12">
        <v>0</v>
      </c>
      <c r="IX104" s="11" t="s">
        <v>350</v>
      </c>
      <c r="IY104" s="11">
        <v>93091</v>
      </c>
      <c r="IZ104" s="11">
        <v>0</v>
      </c>
      <c r="JA104" s="85" t="s">
        <v>361</v>
      </c>
      <c r="JB104" s="85">
        <v>0</v>
      </c>
      <c r="JC104" s="85">
        <v>0</v>
      </c>
      <c r="JD104" s="12" t="s">
        <v>350</v>
      </c>
      <c r="JE104" s="12" t="s">
        <v>350</v>
      </c>
      <c r="JF104" s="12">
        <v>7</v>
      </c>
      <c r="JG104" s="12">
        <v>4</v>
      </c>
      <c r="JH104" s="12">
        <v>7</v>
      </c>
      <c r="JI104" s="12">
        <v>5</v>
      </c>
      <c r="JJ104" s="13" t="s">
        <v>350</v>
      </c>
      <c r="JK104" s="13" t="s">
        <v>620</v>
      </c>
      <c r="JL104" s="13" t="s">
        <v>297</v>
      </c>
      <c r="JM104" s="89"/>
      <c r="JN104" s="89"/>
      <c r="JO104" s="89" t="s">
        <v>296</v>
      </c>
      <c r="JP104" s="89"/>
      <c r="JQ104" s="89"/>
      <c r="JR104" s="89" t="s">
        <v>297</v>
      </c>
      <c r="JS104" s="89" t="s">
        <v>350</v>
      </c>
      <c r="JT104" s="89" t="s">
        <v>620</v>
      </c>
      <c r="JU104" s="89" t="s">
        <v>296</v>
      </c>
      <c r="JV104" s="89"/>
      <c r="JW104" s="89"/>
      <c r="JX104" s="89" t="s">
        <v>297</v>
      </c>
      <c r="JY104" s="12" t="s">
        <v>34</v>
      </c>
      <c r="JZ104" s="12" t="s">
        <v>34</v>
      </c>
      <c r="KA104" s="12" t="s">
        <v>34</v>
      </c>
      <c r="KB104" s="12" t="s">
        <v>34</v>
      </c>
      <c r="KC104" s="12" t="s">
        <v>34</v>
      </c>
      <c r="KD104" s="12" t="s">
        <v>34</v>
      </c>
      <c r="KE104" s="12" t="s">
        <v>34</v>
      </c>
      <c r="KF104" s="12"/>
      <c r="KG104" s="12" t="s">
        <v>34</v>
      </c>
      <c r="KH104" s="12" t="s">
        <v>34</v>
      </c>
      <c r="KI104" s="12" t="s">
        <v>34</v>
      </c>
      <c r="KJ104" s="12" t="s">
        <v>34</v>
      </c>
      <c r="KK104" s="12" t="s">
        <v>34</v>
      </c>
      <c r="KL104" s="12" t="s">
        <v>34</v>
      </c>
      <c r="KM104" s="12" t="s">
        <v>34</v>
      </c>
      <c r="KN104" s="12" t="s">
        <v>34</v>
      </c>
      <c r="KO104" s="12" t="s">
        <v>34</v>
      </c>
      <c r="KP104" s="12" t="s">
        <v>34</v>
      </c>
      <c r="KQ104" s="12" t="s">
        <v>34</v>
      </c>
      <c r="KR104" s="12" t="s">
        <v>34</v>
      </c>
      <c r="KS104" s="12" t="s">
        <v>34</v>
      </c>
      <c r="KT104" s="12" t="s">
        <v>34</v>
      </c>
      <c r="KU104" s="12" t="s">
        <v>34</v>
      </c>
      <c r="KV104" s="12" t="s">
        <v>34</v>
      </c>
      <c r="KW104" s="12" t="s">
        <v>34</v>
      </c>
      <c r="KX104" s="12" t="s">
        <v>34</v>
      </c>
      <c r="KY104" s="12" t="s">
        <v>34</v>
      </c>
      <c r="KZ104" s="12" t="s">
        <v>34</v>
      </c>
      <c r="LA104" s="12" t="s">
        <v>34</v>
      </c>
      <c r="LB104" s="12" t="s">
        <v>619</v>
      </c>
      <c r="LC104" s="12" t="s">
        <v>34</v>
      </c>
      <c r="LD104" s="12" t="s">
        <v>34</v>
      </c>
      <c r="LE104" s="12" t="s">
        <v>34</v>
      </c>
      <c r="LF104" s="12" t="s">
        <v>34</v>
      </c>
      <c r="LG104" s="12" t="s">
        <v>34</v>
      </c>
      <c r="LH104" s="12" t="s">
        <v>34</v>
      </c>
      <c r="LI104" s="12" t="s">
        <v>34</v>
      </c>
      <c r="LJ104" s="12" t="s">
        <v>619</v>
      </c>
      <c r="LK104" s="12" t="s">
        <v>34</v>
      </c>
      <c r="LL104" s="13" t="s">
        <v>34</v>
      </c>
      <c r="LM104" s="13" t="s">
        <v>34</v>
      </c>
      <c r="LN104" s="13" t="s">
        <v>34</v>
      </c>
      <c r="LO104" s="13" t="s">
        <v>34</v>
      </c>
      <c r="LP104" s="90" t="s">
        <v>34</v>
      </c>
      <c r="LQ104" s="13" t="s">
        <v>34</v>
      </c>
      <c r="LR104" s="13" t="s">
        <v>34</v>
      </c>
      <c r="LS104" s="13"/>
      <c r="LT104" s="13" t="s">
        <v>34</v>
      </c>
      <c r="LU104" s="13" t="s">
        <v>34</v>
      </c>
      <c r="LV104" s="13" t="s">
        <v>34</v>
      </c>
      <c r="LW104" s="13" t="s">
        <v>34</v>
      </c>
      <c r="LX104" s="13" t="s">
        <v>34</v>
      </c>
      <c r="LY104" s="13" t="s">
        <v>34</v>
      </c>
      <c r="LZ104" s="13" t="s">
        <v>34</v>
      </c>
      <c r="MA104" s="13" t="s">
        <v>34</v>
      </c>
      <c r="MB104" s="13" t="s">
        <v>34</v>
      </c>
      <c r="MC104" s="13" t="s">
        <v>34</v>
      </c>
      <c r="MD104" s="13" t="s">
        <v>34</v>
      </c>
      <c r="ME104" s="13" t="s">
        <v>34</v>
      </c>
      <c r="MF104" s="13" t="s">
        <v>34</v>
      </c>
      <c r="MG104" s="13" t="s">
        <v>34</v>
      </c>
      <c r="MH104" s="13" t="s">
        <v>34</v>
      </c>
      <c r="MI104" s="13" t="s">
        <v>34</v>
      </c>
      <c r="MJ104" s="13" t="s">
        <v>34</v>
      </c>
      <c r="MK104" s="13" t="s">
        <v>34</v>
      </c>
      <c r="ML104" s="13" t="s">
        <v>34</v>
      </c>
      <c r="MM104" s="13" t="s">
        <v>34</v>
      </c>
      <c r="MN104" s="13" t="s">
        <v>34</v>
      </c>
      <c r="MO104" s="13" t="s">
        <v>34</v>
      </c>
      <c r="MP104" s="13" t="s">
        <v>34</v>
      </c>
      <c r="MQ104" s="13" t="s">
        <v>34</v>
      </c>
      <c r="MR104" s="13" t="s">
        <v>34</v>
      </c>
      <c r="MS104" s="13" t="s">
        <v>34</v>
      </c>
      <c r="MT104" s="13" t="s">
        <v>34</v>
      </c>
      <c r="MU104" s="13" t="s">
        <v>34</v>
      </c>
      <c r="MV104" s="13" t="s">
        <v>34</v>
      </c>
      <c r="MW104" s="13" t="s">
        <v>34</v>
      </c>
      <c r="MX104" s="13" t="s">
        <v>34</v>
      </c>
      <c r="MY104" s="28" t="s">
        <v>296</v>
      </c>
      <c r="MZ104" s="28" t="s">
        <v>296</v>
      </c>
      <c r="NA104" s="28" t="s">
        <v>296</v>
      </c>
      <c r="NB104" s="28" t="s">
        <v>296</v>
      </c>
      <c r="NC104" s="28" t="s">
        <v>296</v>
      </c>
      <c r="ND104" s="28" t="s">
        <v>296</v>
      </c>
      <c r="NE104" s="28" t="s">
        <v>297</v>
      </c>
      <c r="NF104" s="28" t="s">
        <v>296</v>
      </c>
      <c r="NG104" s="28" t="s">
        <v>297</v>
      </c>
      <c r="NH104" s="28" t="s">
        <v>297</v>
      </c>
      <c r="NI104" s="177" t="s">
        <v>296</v>
      </c>
      <c r="NJ104" s="177" t="s">
        <v>297</v>
      </c>
      <c r="NK104" s="177" t="s">
        <v>296</v>
      </c>
      <c r="NL104" s="177" t="s">
        <v>296</v>
      </c>
      <c r="NM104" s="177" t="s">
        <v>296</v>
      </c>
      <c r="NN104" s="177" t="s">
        <v>296</v>
      </c>
      <c r="NO104" s="177" t="s">
        <v>297</v>
      </c>
      <c r="NP104" s="177" t="s">
        <v>296</v>
      </c>
      <c r="NQ104" s="177" t="s">
        <v>296</v>
      </c>
      <c r="NR104" s="12" t="s">
        <v>34</v>
      </c>
      <c r="NS104" s="13" t="s">
        <v>34</v>
      </c>
    </row>
    <row r="105" spans="1:383" ht="21" x14ac:dyDescent="0.35">
      <c r="A105" s="19" t="s">
        <v>250</v>
      </c>
      <c r="B105" s="20" t="s">
        <v>250</v>
      </c>
      <c r="C105" s="21"/>
      <c r="D105" s="21"/>
      <c r="E105" s="22">
        <f>SUM(E2:E104)</f>
        <v>8712</v>
      </c>
      <c r="F105" s="22">
        <f t="shared" ref="F105:I105" si="0">SUM(F2:F104)</f>
        <v>8492</v>
      </c>
      <c r="G105" s="22">
        <f t="shared" si="0"/>
        <v>8219</v>
      </c>
      <c r="H105" s="22">
        <f t="shared" si="0"/>
        <v>7929</v>
      </c>
      <c r="I105" s="22">
        <f t="shared" si="0"/>
        <v>5882</v>
      </c>
      <c r="J105" s="23">
        <f>SUM(J2:J104)</f>
        <v>43112</v>
      </c>
      <c r="K105" s="23">
        <f t="shared" ref="K105:N105" si="1">SUM(K2:K104)</f>
        <v>42829</v>
      </c>
      <c r="L105" s="23">
        <f t="shared" si="1"/>
        <v>41311</v>
      </c>
      <c r="M105" s="23">
        <f t="shared" si="1"/>
        <v>38930</v>
      </c>
      <c r="N105" s="23">
        <f t="shared" si="1"/>
        <v>25700</v>
      </c>
      <c r="O105" s="25">
        <f>SUM(O2:O104)</f>
        <v>589360</v>
      </c>
      <c r="P105" s="25">
        <f t="shared" ref="P105:S105" si="2">SUM(P2:P104)</f>
        <v>581395</v>
      </c>
      <c r="Q105" s="25">
        <f t="shared" si="2"/>
        <v>568955</v>
      </c>
      <c r="R105" s="25">
        <f t="shared" si="2"/>
        <v>541227</v>
      </c>
      <c r="S105" s="25">
        <f t="shared" si="2"/>
        <v>351195</v>
      </c>
      <c r="T105" s="24">
        <f>SUM(T2:T104)</f>
        <v>146166</v>
      </c>
      <c r="U105" s="24">
        <f t="shared" ref="U105:X105" si="3">SUM(U2:U104)</f>
        <v>150014</v>
      </c>
      <c r="V105" s="24">
        <f t="shared" si="3"/>
        <v>144997</v>
      </c>
      <c r="W105" s="24">
        <f t="shared" si="3"/>
        <v>143917</v>
      </c>
      <c r="X105" s="24">
        <f t="shared" si="3"/>
        <v>79395</v>
      </c>
      <c r="Y105" s="26">
        <f>ROUNDDOWN(AVERAGE(Y2:Y104),2)</f>
        <v>6.23</v>
      </c>
      <c r="Z105" s="26">
        <f t="shared" ref="Z105:AD105" si="4">ROUNDDOWN(AVERAGE(Z2:Z104),2)</f>
        <v>6.21</v>
      </c>
      <c r="AA105" s="26">
        <f t="shared" si="4"/>
        <v>6.11</v>
      </c>
      <c r="AB105" s="26">
        <f t="shared" si="4"/>
        <v>5.87</v>
      </c>
      <c r="AC105" s="26">
        <f t="shared" si="4"/>
        <v>5.84</v>
      </c>
      <c r="AD105" s="26">
        <f t="shared" si="4"/>
        <v>5.76</v>
      </c>
      <c r="AE105" s="34"/>
      <c r="AF105" s="34"/>
      <c r="BQ105">
        <f t="shared" ref="BQ105" si="5">SUM(BQ2:BQ104)</f>
        <v>46263</v>
      </c>
      <c r="BR105">
        <f>SUM(BR2:BR104)</f>
        <v>45787</v>
      </c>
      <c r="BS105">
        <f>SUM(BS2:BS104)</f>
        <v>44831</v>
      </c>
      <c r="BT105">
        <f t="shared" ref="BT105:CJ105" si="6">SUM(BT2:BT104)</f>
        <v>44455</v>
      </c>
      <c r="BU105">
        <f t="shared" si="6"/>
        <v>44262</v>
      </c>
      <c r="BV105">
        <f t="shared" si="6"/>
        <v>5929470</v>
      </c>
      <c r="BW105">
        <f t="shared" si="6"/>
        <v>5899373</v>
      </c>
      <c r="BX105">
        <f t="shared" si="6"/>
        <v>5864654</v>
      </c>
      <c r="BY105">
        <f t="shared" si="6"/>
        <v>5764881</v>
      </c>
      <c r="BZ105">
        <f t="shared" si="6"/>
        <v>5691721</v>
      </c>
      <c r="CA105">
        <f t="shared" si="6"/>
        <v>10836</v>
      </c>
      <c r="CB105">
        <f t="shared" si="6"/>
        <v>10720</v>
      </c>
      <c r="CC105">
        <f t="shared" si="6"/>
        <v>9825</v>
      </c>
      <c r="CD105">
        <f t="shared" si="6"/>
        <v>9704</v>
      </c>
      <c r="CE105">
        <f t="shared" si="6"/>
        <v>7062</v>
      </c>
      <c r="CF105">
        <f t="shared" si="6"/>
        <v>735526</v>
      </c>
      <c r="CG105">
        <f t="shared" si="6"/>
        <v>731409</v>
      </c>
      <c r="CH105">
        <f t="shared" si="6"/>
        <v>713952</v>
      </c>
      <c r="CI105">
        <f t="shared" si="6"/>
        <v>685144</v>
      </c>
      <c r="CJ105">
        <f t="shared" si="6"/>
        <v>430590</v>
      </c>
      <c r="CK105" s="26">
        <f>ROUNDDOWN(AVERAGE(CK2:CK104),2)</f>
        <v>36.770000000000003</v>
      </c>
      <c r="CL105" s="26">
        <f t="shared" ref="CL105:CP105" si="7">ROUNDDOWN(AVERAGE(CL2:CL104),2)</f>
        <v>37.119999999999997</v>
      </c>
      <c r="CM105" s="26">
        <f t="shared" si="7"/>
        <v>37.369999999999997</v>
      </c>
      <c r="CN105" s="26">
        <f t="shared" si="7"/>
        <v>18.57</v>
      </c>
      <c r="CO105" s="26">
        <f t="shared" si="7"/>
        <v>18.52</v>
      </c>
      <c r="CP105" s="26">
        <f t="shared" si="7"/>
        <v>18.54</v>
      </c>
      <c r="CQ105" s="22">
        <v>2444</v>
      </c>
      <c r="CR105" s="22">
        <v>1210</v>
      </c>
      <c r="CS105" s="22">
        <v>190</v>
      </c>
      <c r="CT105" s="22">
        <v>12</v>
      </c>
      <c r="CU105" s="22">
        <v>77</v>
      </c>
      <c r="CV105" s="22">
        <v>1261</v>
      </c>
      <c r="CW105" s="22">
        <v>972</v>
      </c>
      <c r="CX105" s="22">
        <v>477</v>
      </c>
      <c r="CY105" s="22">
        <v>26</v>
      </c>
      <c r="CZ105" s="22">
        <v>90</v>
      </c>
      <c r="DA105" s="22">
        <v>83</v>
      </c>
      <c r="DB105" s="22">
        <v>230</v>
      </c>
      <c r="DC105" s="22">
        <v>40</v>
      </c>
      <c r="DD105" s="22">
        <v>56</v>
      </c>
      <c r="DE105" s="22">
        <v>20</v>
      </c>
      <c r="DF105" s="22">
        <v>253</v>
      </c>
      <c r="DG105" s="22">
        <v>34</v>
      </c>
      <c r="DH105" s="22">
        <v>262</v>
      </c>
      <c r="DI105" s="22">
        <v>212</v>
      </c>
      <c r="DJ105" s="22">
        <v>276</v>
      </c>
      <c r="DK105" s="22">
        <v>604</v>
      </c>
      <c r="DL105" s="22">
        <v>43</v>
      </c>
      <c r="DM105" s="22">
        <v>843</v>
      </c>
      <c r="DN105" s="22">
        <v>356</v>
      </c>
      <c r="DO105" s="22">
        <v>95</v>
      </c>
      <c r="DP105" s="22">
        <v>625</v>
      </c>
      <c r="DQ105" s="22">
        <v>180</v>
      </c>
      <c r="DR105" s="22">
        <v>51</v>
      </c>
      <c r="DS105" s="22">
        <v>34</v>
      </c>
      <c r="DT105" s="22">
        <v>76</v>
      </c>
      <c r="DU105" s="22">
        <v>13</v>
      </c>
      <c r="DV105" s="22">
        <v>937</v>
      </c>
      <c r="DW105" s="22">
        <v>958</v>
      </c>
      <c r="DX105" s="22">
        <v>242</v>
      </c>
      <c r="DY105" s="22">
        <v>870</v>
      </c>
      <c r="DZ105" s="22">
        <v>255</v>
      </c>
      <c r="EA105" s="22">
        <v>5</v>
      </c>
      <c r="EB105" s="22">
        <v>1449</v>
      </c>
      <c r="EC105" s="22">
        <v>23</v>
      </c>
      <c r="ED105" s="22">
        <v>855</v>
      </c>
      <c r="EE105" s="22">
        <v>351</v>
      </c>
      <c r="EF105" s="22">
        <v>507</v>
      </c>
      <c r="EG105" s="22">
        <v>10</v>
      </c>
      <c r="EH105" s="22">
        <v>15</v>
      </c>
      <c r="EI105" s="22">
        <v>50</v>
      </c>
      <c r="EJ105" s="22">
        <v>251</v>
      </c>
      <c r="EK105" s="22">
        <v>118</v>
      </c>
      <c r="EL105" s="22">
        <v>464</v>
      </c>
      <c r="EM105" s="22">
        <v>373</v>
      </c>
      <c r="EN105" s="22">
        <v>333</v>
      </c>
      <c r="EO105" s="22">
        <v>159</v>
      </c>
      <c r="EP105" s="22">
        <v>272</v>
      </c>
      <c r="EQ105" s="22">
        <v>382</v>
      </c>
      <c r="ER105" s="22">
        <v>62</v>
      </c>
      <c r="ES105" s="22">
        <f t="shared" ref="ES105:HD105" si="8">SUM(ES2:ES104)</f>
        <v>1166</v>
      </c>
      <c r="ET105" s="22">
        <f t="shared" si="8"/>
        <v>789</v>
      </c>
      <c r="EU105" s="22">
        <f t="shared" si="8"/>
        <v>93</v>
      </c>
      <c r="EV105" s="22">
        <f t="shared" si="8"/>
        <v>3</v>
      </c>
      <c r="EW105" s="22">
        <f t="shared" si="8"/>
        <v>62</v>
      </c>
      <c r="EX105" s="22">
        <f t="shared" si="8"/>
        <v>388</v>
      </c>
      <c r="EY105" s="22">
        <f t="shared" si="8"/>
        <v>307</v>
      </c>
      <c r="EZ105" s="22">
        <f t="shared" si="8"/>
        <v>109</v>
      </c>
      <c r="FA105" s="22">
        <f t="shared" si="8"/>
        <v>5</v>
      </c>
      <c r="FB105" s="22">
        <f t="shared" si="8"/>
        <v>66</v>
      </c>
      <c r="FC105" s="22">
        <f t="shared" si="8"/>
        <v>41</v>
      </c>
      <c r="FD105" s="22">
        <f t="shared" si="8"/>
        <v>84</v>
      </c>
      <c r="FE105" s="22">
        <f t="shared" si="8"/>
        <v>10</v>
      </c>
      <c r="FF105" s="22">
        <f t="shared" si="8"/>
        <v>16</v>
      </c>
      <c r="FG105" s="22">
        <f t="shared" si="8"/>
        <v>15</v>
      </c>
      <c r="FH105" s="22">
        <f t="shared" si="8"/>
        <v>59</v>
      </c>
      <c r="FI105" s="22">
        <f t="shared" si="8"/>
        <v>3</v>
      </c>
      <c r="FJ105" s="22">
        <f t="shared" si="8"/>
        <v>112</v>
      </c>
      <c r="FK105" s="22">
        <f t="shared" si="8"/>
        <v>164</v>
      </c>
      <c r="FL105" s="22">
        <f t="shared" si="8"/>
        <v>250</v>
      </c>
      <c r="FM105" s="22">
        <f t="shared" si="8"/>
        <v>288</v>
      </c>
      <c r="FN105" s="22">
        <f t="shared" si="8"/>
        <v>40</v>
      </c>
      <c r="FO105" s="22">
        <f t="shared" si="8"/>
        <v>569</v>
      </c>
      <c r="FP105" s="22">
        <f t="shared" si="8"/>
        <v>243</v>
      </c>
      <c r="FQ105" s="22">
        <f t="shared" si="8"/>
        <v>30</v>
      </c>
      <c r="FR105" s="22">
        <f t="shared" si="8"/>
        <v>491</v>
      </c>
      <c r="FS105" s="22">
        <f t="shared" si="8"/>
        <v>52</v>
      </c>
      <c r="FT105" s="22">
        <f t="shared" si="8"/>
        <v>107</v>
      </c>
      <c r="FU105" s="22">
        <f t="shared" si="8"/>
        <v>7</v>
      </c>
      <c r="FV105" s="22">
        <f t="shared" si="8"/>
        <v>44</v>
      </c>
      <c r="FW105" s="22">
        <f t="shared" si="8"/>
        <v>6</v>
      </c>
      <c r="FX105" s="22">
        <f t="shared" si="8"/>
        <v>578</v>
      </c>
      <c r="FY105" s="22">
        <f t="shared" si="8"/>
        <v>416</v>
      </c>
      <c r="FZ105" s="22">
        <f t="shared" si="8"/>
        <v>58</v>
      </c>
      <c r="GA105" s="22">
        <f t="shared" si="8"/>
        <v>420</v>
      </c>
      <c r="GB105" s="22">
        <f t="shared" si="8"/>
        <v>144</v>
      </c>
      <c r="GC105" s="22">
        <f t="shared" si="8"/>
        <v>6</v>
      </c>
      <c r="GD105" s="22">
        <f t="shared" si="8"/>
        <v>528</v>
      </c>
      <c r="GE105" s="22">
        <f t="shared" si="8"/>
        <v>13</v>
      </c>
      <c r="GF105" s="22">
        <f t="shared" si="8"/>
        <v>374</v>
      </c>
      <c r="GG105" s="22">
        <f t="shared" si="8"/>
        <v>296</v>
      </c>
      <c r="GH105" s="22">
        <f t="shared" si="8"/>
        <v>267</v>
      </c>
      <c r="GI105" s="22">
        <f t="shared" si="8"/>
        <v>13</v>
      </c>
      <c r="GJ105" s="22">
        <f t="shared" si="8"/>
        <v>71</v>
      </c>
      <c r="GK105" s="22">
        <f t="shared" si="8"/>
        <v>44</v>
      </c>
      <c r="GL105" s="22">
        <f t="shared" si="8"/>
        <v>94</v>
      </c>
      <c r="GM105" s="22">
        <f t="shared" si="8"/>
        <v>59</v>
      </c>
      <c r="GN105" s="22">
        <f t="shared" si="8"/>
        <v>240</v>
      </c>
      <c r="GO105" s="22">
        <f t="shared" si="8"/>
        <v>240</v>
      </c>
      <c r="GP105" s="22">
        <f t="shared" si="8"/>
        <v>206</v>
      </c>
      <c r="GQ105" s="22">
        <f t="shared" si="8"/>
        <v>138</v>
      </c>
      <c r="GR105" s="22">
        <f t="shared" si="8"/>
        <v>132</v>
      </c>
      <c r="GS105" s="22">
        <f t="shared" si="8"/>
        <v>150</v>
      </c>
      <c r="GT105" s="22">
        <f t="shared" si="8"/>
        <v>97</v>
      </c>
      <c r="GU105" s="22">
        <f t="shared" si="8"/>
        <v>8486</v>
      </c>
      <c r="GV105" s="22">
        <f t="shared" si="8"/>
        <v>1929</v>
      </c>
      <c r="GW105" s="22">
        <f t="shared" si="8"/>
        <v>656</v>
      </c>
      <c r="GX105" s="22">
        <f t="shared" si="8"/>
        <v>55</v>
      </c>
      <c r="GY105" s="22">
        <f t="shared" si="8"/>
        <v>6</v>
      </c>
      <c r="GZ105" s="22">
        <f t="shared" si="8"/>
        <v>15</v>
      </c>
      <c r="HA105" s="22">
        <f t="shared" si="8"/>
        <v>971</v>
      </c>
      <c r="HB105" s="22">
        <f t="shared" si="8"/>
        <v>745</v>
      </c>
      <c r="HC105" s="22">
        <f t="shared" si="8"/>
        <v>600</v>
      </c>
      <c r="HD105" s="22">
        <f t="shared" si="8"/>
        <v>7</v>
      </c>
      <c r="HE105" s="22">
        <f t="shared" ref="HE105:IW105" si="9">SUM(HE2:HE104)</f>
        <v>6</v>
      </c>
      <c r="HF105" s="22">
        <f t="shared" si="9"/>
        <v>47</v>
      </c>
      <c r="HG105" s="22">
        <f t="shared" si="9"/>
        <v>56</v>
      </c>
      <c r="HH105" s="22">
        <f t="shared" si="9"/>
        <v>60</v>
      </c>
      <c r="HI105" s="22">
        <f t="shared" si="9"/>
        <v>80</v>
      </c>
      <c r="HJ105" s="22">
        <f t="shared" si="9"/>
        <v>18</v>
      </c>
      <c r="HK105" s="22">
        <f t="shared" si="9"/>
        <v>196</v>
      </c>
      <c r="HL105" s="22">
        <f t="shared" si="9"/>
        <v>25</v>
      </c>
      <c r="HM105" s="22">
        <f t="shared" si="9"/>
        <v>391</v>
      </c>
      <c r="HN105" s="22">
        <f t="shared" si="9"/>
        <v>18</v>
      </c>
      <c r="HO105" s="22">
        <f t="shared" si="9"/>
        <v>265</v>
      </c>
      <c r="HP105" s="22">
        <f t="shared" si="9"/>
        <v>365</v>
      </c>
      <c r="HQ105" s="22">
        <f t="shared" si="9"/>
        <v>4</v>
      </c>
      <c r="HR105" s="22">
        <f t="shared" si="9"/>
        <v>375</v>
      </c>
      <c r="HS105" s="22">
        <f t="shared" si="9"/>
        <v>174</v>
      </c>
      <c r="HT105" s="22">
        <f t="shared" si="9"/>
        <v>25</v>
      </c>
      <c r="HU105" s="22">
        <f t="shared" si="9"/>
        <v>349</v>
      </c>
      <c r="HV105" s="22">
        <f t="shared" si="9"/>
        <v>118</v>
      </c>
      <c r="HW105" s="22">
        <f t="shared" si="9"/>
        <v>240</v>
      </c>
      <c r="HX105" s="22">
        <f t="shared" si="9"/>
        <v>21</v>
      </c>
      <c r="HY105" s="22">
        <f t="shared" si="9"/>
        <v>40</v>
      </c>
      <c r="HZ105" s="22">
        <f t="shared" si="9"/>
        <v>19</v>
      </c>
      <c r="IA105" s="22">
        <f t="shared" si="9"/>
        <v>78</v>
      </c>
      <c r="IB105" s="22">
        <f t="shared" si="9"/>
        <v>374</v>
      </c>
      <c r="IC105" s="22">
        <f t="shared" si="9"/>
        <v>191</v>
      </c>
      <c r="ID105" s="22">
        <f t="shared" si="9"/>
        <v>380</v>
      </c>
      <c r="IE105" s="22">
        <f t="shared" si="9"/>
        <v>162</v>
      </c>
      <c r="IF105" s="22">
        <f t="shared" si="9"/>
        <v>0</v>
      </c>
      <c r="IG105" s="22">
        <f t="shared" si="9"/>
        <v>590</v>
      </c>
      <c r="IH105" s="22">
        <f t="shared" si="9"/>
        <v>12</v>
      </c>
      <c r="II105" s="22">
        <f t="shared" si="9"/>
        <v>451</v>
      </c>
      <c r="IJ105" s="22">
        <f t="shared" si="9"/>
        <v>26</v>
      </c>
      <c r="IK105" s="22">
        <f t="shared" si="9"/>
        <v>183</v>
      </c>
      <c r="IL105" s="22">
        <f t="shared" si="9"/>
        <v>5</v>
      </c>
      <c r="IM105" s="22">
        <f t="shared" si="9"/>
        <v>166</v>
      </c>
      <c r="IN105" s="22">
        <f t="shared" si="9"/>
        <v>48</v>
      </c>
      <c r="IO105" s="22">
        <f t="shared" si="9"/>
        <v>106</v>
      </c>
      <c r="IP105" s="22">
        <f t="shared" si="9"/>
        <v>18</v>
      </c>
      <c r="IQ105" s="22">
        <f t="shared" si="9"/>
        <v>160</v>
      </c>
      <c r="IR105" s="22">
        <f t="shared" si="9"/>
        <v>381</v>
      </c>
      <c r="IS105" s="22">
        <f t="shared" si="9"/>
        <v>295</v>
      </c>
      <c r="IT105" s="22">
        <f t="shared" si="9"/>
        <v>315</v>
      </c>
      <c r="IU105" s="22">
        <f t="shared" si="9"/>
        <v>277</v>
      </c>
      <c r="IV105" s="22">
        <f t="shared" si="9"/>
        <v>251</v>
      </c>
      <c r="IW105" s="22">
        <f t="shared" si="9"/>
        <v>96</v>
      </c>
      <c r="IX105" s="83">
        <f t="shared" ref="IX105:IZ105" si="10">AVERAGE(IX2:IX104)</f>
        <v>15897.111111111111</v>
      </c>
      <c r="IY105" s="83">
        <f t="shared" si="10"/>
        <v>16848.784313725489</v>
      </c>
      <c r="IZ105" s="83">
        <f t="shared" si="10"/>
        <v>16863.313725490196</v>
      </c>
      <c r="JD105" s="22">
        <f>SUM(JD2:JD104)</f>
        <v>1276</v>
      </c>
      <c r="JE105" s="22">
        <f>SUM(JE2:JE104)</f>
        <v>568</v>
      </c>
      <c r="JF105" s="22">
        <f t="shared" ref="JF105:JG105" si="11">SUM(JF2:JF104)</f>
        <v>1249</v>
      </c>
      <c r="JG105" s="22">
        <f t="shared" si="11"/>
        <v>521</v>
      </c>
      <c r="JH105" s="22">
        <v>1286</v>
      </c>
      <c r="JI105" s="22">
        <v>550</v>
      </c>
      <c r="JJ105" s="22">
        <f>COUNTIF(JJ2:JJ104,"Oui")</f>
        <v>71</v>
      </c>
      <c r="JK105" s="22">
        <f>COUNTIF(JK2:JK104,"Oui")</f>
        <v>68</v>
      </c>
      <c r="JL105" s="22">
        <f>COUNTIF(JL2:JL104,"Oui")</f>
        <v>65</v>
      </c>
      <c r="JM105" s="22">
        <f t="shared" ref="JM105:JR105" si="12">COUNTIF(JM2:JM104,"Oui")</f>
        <v>0</v>
      </c>
      <c r="JN105" s="22">
        <f t="shared" si="12"/>
        <v>0</v>
      </c>
      <c r="JO105" s="22">
        <f>COUNTIF(JO2:JO104,"Oui")</f>
        <v>84</v>
      </c>
      <c r="JP105" s="22">
        <f t="shared" si="12"/>
        <v>0</v>
      </c>
      <c r="JQ105" s="22">
        <f t="shared" si="12"/>
        <v>0</v>
      </c>
      <c r="JR105" s="22">
        <f t="shared" si="12"/>
        <v>91</v>
      </c>
      <c r="JS105" s="22">
        <f>COUNTIF(JS2:JS104,"Oui")</f>
        <v>59</v>
      </c>
      <c r="JT105" s="22">
        <f t="shared" ref="JT105:JU105" si="13">COUNTIF(JT2:JT104,"Oui")</f>
        <v>77</v>
      </c>
      <c r="JU105" s="22">
        <f t="shared" si="13"/>
        <v>86</v>
      </c>
      <c r="JV105" s="22">
        <f t="shared" ref="JV105" si="14">COUNTIF(JV2:JV104,"Oui")</f>
        <v>0</v>
      </c>
      <c r="JW105" s="22">
        <f t="shared" ref="JW105" si="15">COUNTIF(JW2:JW104,"Oui")</f>
        <v>0</v>
      </c>
      <c r="JX105" s="22">
        <f t="shared" ref="JX105" si="16">COUNTIF(JX2:JX104,"Oui")</f>
        <v>18</v>
      </c>
      <c r="JY105" s="22">
        <v>46</v>
      </c>
      <c r="JZ105" s="22">
        <v>6</v>
      </c>
      <c r="KA105" s="22">
        <v>19</v>
      </c>
      <c r="KB105" s="22">
        <v>7</v>
      </c>
      <c r="KC105" s="22">
        <v>49</v>
      </c>
      <c r="KD105" s="22">
        <v>18</v>
      </c>
      <c r="KE105" s="22">
        <v>7</v>
      </c>
      <c r="KF105" s="22">
        <v>0</v>
      </c>
      <c r="KG105" s="22">
        <v>20</v>
      </c>
      <c r="KH105" s="22">
        <v>3</v>
      </c>
      <c r="KI105" s="22">
        <v>23</v>
      </c>
      <c r="KJ105" s="22">
        <v>24</v>
      </c>
      <c r="KK105" s="22">
        <v>7</v>
      </c>
      <c r="KL105" s="22">
        <v>4</v>
      </c>
      <c r="KM105" s="22">
        <v>33</v>
      </c>
      <c r="KN105" s="22">
        <v>73</v>
      </c>
      <c r="KO105" s="22">
        <v>51</v>
      </c>
      <c r="KP105" s="22">
        <v>11</v>
      </c>
      <c r="KQ105" s="22">
        <v>65</v>
      </c>
      <c r="KR105" s="22">
        <v>52</v>
      </c>
      <c r="KS105" s="22">
        <v>11</v>
      </c>
      <c r="KT105" s="22">
        <v>12</v>
      </c>
      <c r="KU105" s="22">
        <v>8</v>
      </c>
      <c r="KV105" s="22">
        <v>6</v>
      </c>
      <c r="KW105" s="22">
        <v>8</v>
      </c>
      <c r="KX105" s="22">
        <v>9</v>
      </c>
      <c r="KY105" s="22">
        <v>26</v>
      </c>
      <c r="KZ105" s="22">
        <v>18</v>
      </c>
      <c r="LA105" s="22">
        <v>11</v>
      </c>
      <c r="LB105" s="22">
        <v>71</v>
      </c>
      <c r="LC105" s="22">
        <v>33</v>
      </c>
      <c r="LD105" s="22">
        <v>49</v>
      </c>
      <c r="LE105" s="22">
        <v>30</v>
      </c>
      <c r="LF105" s="22">
        <v>3</v>
      </c>
      <c r="LG105" s="22">
        <v>6</v>
      </c>
      <c r="LH105" s="22">
        <v>10</v>
      </c>
      <c r="LI105" s="22">
        <v>65</v>
      </c>
      <c r="LJ105" s="22">
        <v>60</v>
      </c>
      <c r="LK105" s="22">
        <v>22</v>
      </c>
      <c r="LL105" s="22">
        <v>27</v>
      </c>
      <c r="LM105" s="22">
        <v>1</v>
      </c>
      <c r="LN105" s="22">
        <v>25</v>
      </c>
      <c r="LO105" s="22">
        <v>3</v>
      </c>
      <c r="LP105" s="22">
        <v>40</v>
      </c>
      <c r="LQ105" s="22">
        <v>13</v>
      </c>
      <c r="LR105" s="22">
        <v>4</v>
      </c>
      <c r="LS105" s="22">
        <v>0</v>
      </c>
      <c r="LT105" s="22">
        <v>6</v>
      </c>
      <c r="LU105" s="22">
        <v>5</v>
      </c>
      <c r="LV105" s="22">
        <v>10</v>
      </c>
      <c r="LW105" s="22">
        <v>5</v>
      </c>
      <c r="LX105" s="22">
        <v>2</v>
      </c>
      <c r="LY105" s="22">
        <v>0</v>
      </c>
      <c r="LZ105" s="22">
        <v>25</v>
      </c>
      <c r="MA105" s="22">
        <v>58</v>
      </c>
      <c r="MB105" s="22">
        <v>47</v>
      </c>
      <c r="MC105" s="22">
        <v>8</v>
      </c>
      <c r="MD105" s="22">
        <v>57</v>
      </c>
      <c r="ME105" s="22">
        <v>23</v>
      </c>
      <c r="MF105" s="22">
        <v>7</v>
      </c>
      <c r="MG105" s="22">
        <v>9</v>
      </c>
      <c r="MH105" s="22">
        <v>2</v>
      </c>
      <c r="MI105" s="22">
        <v>3</v>
      </c>
      <c r="MJ105" s="22">
        <v>1</v>
      </c>
      <c r="MK105" s="22">
        <v>6</v>
      </c>
      <c r="ML105" s="22">
        <v>17</v>
      </c>
      <c r="MM105" s="22">
        <v>13</v>
      </c>
      <c r="MN105" s="22">
        <v>2</v>
      </c>
      <c r="MO105" s="22">
        <v>67</v>
      </c>
      <c r="MP105" s="22">
        <v>18</v>
      </c>
      <c r="MQ105" s="22">
        <v>50</v>
      </c>
      <c r="MR105" s="22">
        <v>22</v>
      </c>
      <c r="MS105" s="22">
        <v>0</v>
      </c>
      <c r="MT105" s="22">
        <v>1</v>
      </c>
      <c r="MU105" s="22">
        <v>2</v>
      </c>
      <c r="MV105" s="22">
        <v>20</v>
      </c>
      <c r="MW105" s="22">
        <v>15</v>
      </c>
      <c r="MX105" s="22">
        <v>17</v>
      </c>
      <c r="NR105" s="22">
        <v>8</v>
      </c>
      <c r="NS105" s="22">
        <v>0</v>
      </c>
    </row>
    <row r="106" spans="1:383" ht="21" x14ac:dyDescent="0.35">
      <c r="J106" s="27" t="s">
        <v>251</v>
      </c>
      <c r="K106" s="27" t="s">
        <v>251</v>
      </c>
      <c r="L106" s="27"/>
      <c r="M106" s="27"/>
      <c r="N106" s="27"/>
      <c r="O106" s="27" t="s">
        <v>251</v>
      </c>
      <c r="P106" s="27" t="s">
        <v>251</v>
      </c>
      <c r="Q106" s="27"/>
      <c r="R106" s="27"/>
      <c r="S106" s="27"/>
      <c r="T106" s="27" t="s">
        <v>251</v>
      </c>
      <c r="U106" s="27" t="s">
        <v>251</v>
      </c>
      <c r="V106" s="27"/>
      <c r="W106" s="27"/>
      <c r="X106" s="27"/>
      <c r="Y106" s="27"/>
      <c r="Z106" s="27"/>
      <c r="AA106" s="27"/>
      <c r="AB106" s="27"/>
      <c r="AC106" s="27"/>
      <c r="AD106" s="27"/>
      <c r="AK106" s="46"/>
      <c r="AL106" s="49"/>
      <c r="AM106" s="49"/>
      <c r="AN106" s="49"/>
      <c r="AO106" s="49"/>
      <c r="AP106" s="49"/>
      <c r="JD106" s="87"/>
      <c r="JE106" s="87">
        <f>COUNT(JD2:JD104)</f>
        <v>99</v>
      </c>
      <c r="JF106" s="87"/>
      <c r="JG106" s="87">
        <f>COUNT(JF2:JF104)</f>
        <v>102</v>
      </c>
      <c r="JH106" s="87"/>
      <c r="JI106" s="87">
        <v>102</v>
      </c>
      <c r="JY106" s="87"/>
      <c r="JZ106" s="87"/>
      <c r="KA106" s="87"/>
      <c r="KB106" s="87"/>
      <c r="KC106" s="87"/>
      <c r="KD106" s="87"/>
      <c r="KE106" s="87"/>
      <c r="KF106" s="87"/>
      <c r="KG106" s="87"/>
      <c r="KH106" s="87"/>
      <c r="KI106" s="87"/>
      <c r="KJ106" s="87"/>
      <c r="KK106" s="87"/>
      <c r="KL106" s="87"/>
      <c r="KM106" s="87"/>
      <c r="KN106" s="87"/>
      <c r="KO106" s="87"/>
      <c r="KP106" s="87"/>
      <c r="KQ106" s="87"/>
      <c r="KR106" s="87"/>
      <c r="KS106" s="87"/>
      <c r="KT106" s="87"/>
      <c r="KU106" s="87"/>
      <c r="KV106" s="87"/>
      <c r="KW106" s="87"/>
      <c r="KX106" s="87"/>
      <c r="KY106" s="87"/>
      <c r="KZ106" s="87"/>
      <c r="LA106" s="87"/>
      <c r="LB106" s="87"/>
      <c r="LC106" s="87"/>
      <c r="LD106" s="87"/>
      <c r="LE106" s="87"/>
      <c r="LF106" s="87"/>
      <c r="LG106" s="87"/>
      <c r="LH106" s="87"/>
      <c r="LI106" s="87"/>
      <c r="LJ106" s="87"/>
      <c r="LK106" s="87"/>
      <c r="LL106" s="87"/>
      <c r="LM106" s="87"/>
      <c r="LN106" s="87"/>
      <c r="LO106" s="87"/>
      <c r="LP106" s="87"/>
      <c r="LQ106" s="87"/>
      <c r="LR106" s="87"/>
      <c r="LS106" s="87"/>
      <c r="LT106" s="87"/>
      <c r="LU106" s="87"/>
      <c r="LV106" s="87"/>
      <c r="LW106" s="87"/>
      <c r="LX106" s="87"/>
      <c r="LY106" s="87"/>
      <c r="LZ106" s="87"/>
      <c r="MA106" s="87"/>
      <c r="MB106" s="87"/>
      <c r="MC106" s="87"/>
      <c r="MD106" s="87"/>
      <c r="ME106" s="87"/>
      <c r="MF106" s="87"/>
      <c r="MG106" s="87"/>
      <c r="MH106" s="87"/>
      <c r="MI106" s="87"/>
      <c r="MJ106" s="87"/>
      <c r="MK106" s="87"/>
      <c r="ML106" s="87"/>
      <c r="MM106" s="87"/>
      <c r="MN106" s="87"/>
      <c r="MO106" s="87"/>
      <c r="MP106" s="87"/>
      <c r="MQ106" s="87"/>
      <c r="MR106" s="87"/>
      <c r="MS106" s="87"/>
      <c r="MT106" s="87"/>
      <c r="MU106" s="87"/>
      <c r="MV106" s="87"/>
      <c r="MW106" s="87"/>
      <c r="MX106" s="87"/>
      <c r="NR106" s="87"/>
      <c r="NS106" s="87"/>
    </row>
    <row r="107" spans="1:383" ht="21" x14ac:dyDescent="0.35">
      <c r="AK107" s="46"/>
      <c r="AL107" s="49"/>
      <c r="AM107" s="49"/>
      <c r="AN107" s="49"/>
      <c r="AO107" s="49"/>
      <c r="AP107" s="49"/>
      <c r="CK107">
        <f t="shared" ref="CK107:CO107" si="17">MIN(CK2:CK104)</f>
        <v>0</v>
      </c>
      <c r="CL107">
        <f>MIN(CL2:CL104)</f>
        <v>0</v>
      </c>
      <c r="CM107">
        <f t="shared" si="17"/>
        <v>0</v>
      </c>
      <c r="CN107">
        <f>MIN(CN2:CN104)</f>
        <v>11.4</v>
      </c>
      <c r="CO107">
        <f t="shared" si="17"/>
        <v>11.4</v>
      </c>
      <c r="CP107">
        <f>MIN(CP2:CP104)</f>
        <v>11.4</v>
      </c>
      <c r="JD107" s="87"/>
      <c r="JE107" s="87">
        <f>JE105/JD105</f>
        <v>0.44514106583072099</v>
      </c>
      <c r="JF107" s="87"/>
      <c r="JG107" s="87">
        <f>JG105/JF105</f>
        <v>0.41713370696557245</v>
      </c>
      <c r="JH107" s="87"/>
      <c r="JI107" s="87">
        <v>0.42768273716951788</v>
      </c>
    </row>
    <row r="108" spans="1:383" x14ac:dyDescent="0.25">
      <c r="AK108" s="46"/>
      <c r="AL108" s="49"/>
      <c r="AM108" s="49"/>
      <c r="AN108" s="49"/>
      <c r="AO108" s="49"/>
      <c r="AP108" s="49"/>
    </row>
    <row r="109" spans="1:383" x14ac:dyDescent="0.25">
      <c r="AK109" s="46"/>
      <c r="AL109" s="49"/>
      <c r="AM109" s="49"/>
      <c r="AN109" s="49"/>
      <c r="AO109" s="49"/>
      <c r="AP109" s="49"/>
    </row>
    <row r="110" spans="1:383" x14ac:dyDescent="0.25">
      <c r="AK110" s="46"/>
      <c r="AL110" s="49"/>
      <c r="AM110" s="49"/>
      <c r="AN110" s="49"/>
      <c r="AO110" s="49"/>
      <c r="AP110" s="49"/>
    </row>
    <row r="111" spans="1:383" x14ac:dyDescent="0.25">
      <c r="AK111" s="46"/>
      <c r="AL111" s="49"/>
      <c r="AM111" s="49"/>
      <c r="AN111" s="49"/>
      <c r="AO111" s="49"/>
      <c r="AP111" s="49"/>
    </row>
    <row r="112" spans="1:383" x14ac:dyDescent="0.25">
      <c r="AK112" s="46"/>
      <c r="AL112" s="49"/>
      <c r="AM112" s="49"/>
      <c r="AN112" s="49"/>
      <c r="AO112" s="49"/>
      <c r="AP112" s="49"/>
    </row>
    <row r="113" spans="31:42" x14ac:dyDescent="0.25">
      <c r="AE113" s="36"/>
      <c r="AF113" s="36"/>
      <c r="AK113" s="46"/>
      <c r="AL113" s="49"/>
      <c r="AM113" s="49"/>
      <c r="AN113" s="49"/>
      <c r="AO113" s="49"/>
      <c r="AP113" s="49"/>
    </row>
    <row r="114" spans="31:42" x14ac:dyDescent="0.25">
      <c r="AK114" s="46"/>
      <c r="AL114" s="49"/>
      <c r="AM114" s="49"/>
      <c r="AN114" s="49"/>
      <c r="AO114" s="49"/>
      <c r="AP114" s="49"/>
    </row>
    <row r="115" spans="31:42" x14ac:dyDescent="0.25">
      <c r="AK115" s="46"/>
      <c r="AL115" s="49"/>
      <c r="AM115" s="49"/>
      <c r="AN115" s="49"/>
      <c r="AO115" s="49"/>
      <c r="AP115" s="49"/>
    </row>
    <row r="116" spans="31:42" x14ac:dyDescent="0.25">
      <c r="AK116" s="46"/>
      <c r="AL116" s="49"/>
      <c r="AM116" s="49"/>
      <c r="AN116" s="49"/>
      <c r="AO116" s="49"/>
      <c r="AP116" s="49"/>
    </row>
    <row r="117" spans="31:42" x14ac:dyDescent="0.25">
      <c r="AK117" s="46"/>
      <c r="AL117" s="49"/>
      <c r="AM117" s="49"/>
      <c r="AN117" s="49"/>
      <c r="AO117" s="49"/>
      <c r="AP117" s="49"/>
    </row>
    <row r="118" spans="31:42" x14ac:dyDescent="0.25">
      <c r="AK118" s="46"/>
      <c r="AL118" s="49"/>
      <c r="AM118" s="49"/>
      <c r="AN118" s="49"/>
      <c r="AO118" s="49"/>
      <c r="AP118" s="49"/>
    </row>
    <row r="119" spans="31:42" x14ac:dyDescent="0.25">
      <c r="AK119" s="46"/>
      <c r="AL119" s="49"/>
      <c r="AM119" s="49"/>
      <c r="AN119" s="49"/>
      <c r="AO119" s="49"/>
      <c r="AP119" s="49"/>
    </row>
    <row r="120" spans="31:42" x14ac:dyDescent="0.25">
      <c r="AK120" s="46"/>
      <c r="AL120" s="49"/>
      <c r="AM120" s="49"/>
      <c r="AN120" s="49"/>
      <c r="AO120" s="49"/>
      <c r="AP120" s="49"/>
    </row>
    <row r="121" spans="31:42" x14ac:dyDescent="0.25">
      <c r="AK121" s="46"/>
      <c r="AL121" s="49"/>
      <c r="AM121" s="49"/>
      <c r="AN121" s="49"/>
      <c r="AO121" s="49"/>
      <c r="AP121" s="49"/>
    </row>
    <row r="122" spans="31:42" x14ac:dyDescent="0.25">
      <c r="AK122" s="46"/>
      <c r="AL122" s="49"/>
      <c r="AM122" s="49"/>
      <c r="AN122" s="49"/>
      <c r="AO122" s="49"/>
      <c r="AP122" s="49"/>
    </row>
    <row r="123" spans="31:42" x14ac:dyDescent="0.25">
      <c r="AK123" s="46"/>
      <c r="AL123" s="49"/>
      <c r="AM123" s="49"/>
      <c r="AN123" s="49"/>
      <c r="AO123" s="49"/>
      <c r="AP123" s="49"/>
    </row>
    <row r="124" spans="31:42" x14ac:dyDescent="0.25">
      <c r="AK124" s="46"/>
      <c r="AL124" s="49"/>
      <c r="AM124" s="49"/>
      <c r="AN124" s="49"/>
      <c r="AO124" s="49"/>
      <c r="AP124" s="49"/>
    </row>
    <row r="125" spans="31:42" x14ac:dyDescent="0.25">
      <c r="AK125" s="46"/>
      <c r="AL125" s="49"/>
      <c r="AM125" s="49"/>
      <c r="AN125" s="49"/>
      <c r="AO125" s="49"/>
      <c r="AP125" s="49"/>
    </row>
    <row r="126" spans="31:42" x14ac:dyDescent="0.25">
      <c r="AK126" s="46"/>
      <c r="AL126" s="49"/>
      <c r="AM126" s="49"/>
      <c r="AN126" s="49"/>
      <c r="AO126" s="49"/>
      <c r="AP126" s="49"/>
    </row>
    <row r="127" spans="31:42" x14ac:dyDescent="0.25">
      <c r="AK127" s="46"/>
      <c r="AL127" s="49"/>
      <c r="AM127" s="49"/>
      <c r="AN127" s="49"/>
      <c r="AO127" s="49"/>
      <c r="AP127" s="49"/>
    </row>
    <row r="128" spans="31:42" x14ac:dyDescent="0.25">
      <c r="AK128" s="46"/>
      <c r="AL128" s="49"/>
      <c r="AM128" s="49"/>
      <c r="AN128" s="49"/>
      <c r="AO128" s="49"/>
      <c r="AP128" s="49"/>
    </row>
    <row r="129" spans="37:42" x14ac:dyDescent="0.25">
      <c r="AK129" s="46"/>
      <c r="AL129" s="49"/>
      <c r="AM129" s="49"/>
      <c r="AN129" s="49"/>
      <c r="AO129" s="49"/>
      <c r="AP129" s="49"/>
    </row>
    <row r="130" spans="37:42" x14ac:dyDescent="0.25">
      <c r="AK130" s="46"/>
      <c r="AL130" s="49"/>
      <c r="AM130" s="49"/>
      <c r="AN130" s="49"/>
      <c r="AO130" s="49"/>
      <c r="AP130" s="49"/>
    </row>
    <row r="131" spans="37:42" x14ac:dyDescent="0.25">
      <c r="AK131" s="46"/>
      <c r="AL131" s="49"/>
      <c r="AM131" s="49"/>
      <c r="AN131" s="49"/>
      <c r="AO131" s="49"/>
      <c r="AP131" s="49"/>
    </row>
    <row r="132" spans="37:42" x14ac:dyDescent="0.25">
      <c r="AK132" s="46"/>
      <c r="AL132" s="49"/>
      <c r="AM132" s="49"/>
      <c r="AN132" s="49"/>
      <c r="AO132" s="49"/>
      <c r="AP132" s="49"/>
    </row>
    <row r="133" spans="37:42" x14ac:dyDescent="0.25">
      <c r="AK133" s="46"/>
      <c r="AL133" s="49"/>
      <c r="AM133" s="49"/>
      <c r="AN133" s="49"/>
      <c r="AO133" s="49"/>
      <c r="AP133" s="49"/>
    </row>
    <row r="134" spans="37:42" x14ac:dyDescent="0.25">
      <c r="AK134" s="46"/>
      <c r="AL134" s="49"/>
      <c r="AM134" s="49"/>
      <c r="AN134" s="49"/>
      <c r="AO134" s="49"/>
      <c r="AP134" s="49"/>
    </row>
    <row r="135" spans="37:42" x14ac:dyDescent="0.25">
      <c r="AK135" s="46"/>
      <c r="AL135" s="49"/>
      <c r="AM135" s="49"/>
      <c r="AN135" s="49"/>
      <c r="AO135" s="49"/>
      <c r="AP135" s="49"/>
    </row>
    <row r="136" spans="37:42" x14ac:dyDescent="0.25">
      <c r="AK136" s="46"/>
      <c r="AL136" s="49"/>
      <c r="AM136" s="49"/>
      <c r="AN136" s="49"/>
      <c r="AO136" s="49"/>
      <c r="AP136" s="49"/>
    </row>
    <row r="137" spans="37:42" x14ac:dyDescent="0.25">
      <c r="AK137" s="46"/>
      <c r="AL137" s="49"/>
      <c r="AM137" s="49"/>
      <c r="AN137" s="49"/>
      <c r="AO137" s="49"/>
      <c r="AP137" s="49"/>
    </row>
    <row r="138" spans="37:42" x14ac:dyDescent="0.25">
      <c r="AK138" s="46"/>
      <c r="AL138" s="49"/>
      <c r="AM138" s="49"/>
      <c r="AN138" s="49"/>
      <c r="AO138" s="49"/>
      <c r="AP138" s="49"/>
    </row>
    <row r="139" spans="37:42" x14ac:dyDescent="0.25">
      <c r="AK139" s="46"/>
      <c r="AL139" s="49"/>
      <c r="AM139" s="49"/>
      <c r="AN139" s="49"/>
      <c r="AO139" s="49"/>
      <c r="AP139" s="49"/>
    </row>
    <row r="140" spans="37:42" x14ac:dyDescent="0.25">
      <c r="AK140" s="46"/>
      <c r="AL140" s="49"/>
      <c r="AM140" s="49"/>
      <c r="AN140" s="49"/>
      <c r="AO140" s="49"/>
      <c r="AP140" s="49"/>
    </row>
    <row r="141" spans="37:42" x14ac:dyDescent="0.25">
      <c r="AK141" s="46"/>
      <c r="AL141" s="49"/>
      <c r="AM141" s="49"/>
      <c r="AN141" s="49"/>
      <c r="AO141" s="49"/>
      <c r="AP141" s="49"/>
    </row>
    <row r="142" spans="37:42" x14ac:dyDescent="0.25">
      <c r="AK142" s="46"/>
      <c r="AL142" s="49"/>
      <c r="AM142" s="49"/>
      <c r="AN142" s="49"/>
      <c r="AO142" s="49"/>
      <c r="AP142" s="49"/>
    </row>
    <row r="143" spans="37:42" x14ac:dyDescent="0.25">
      <c r="AK143" s="46"/>
      <c r="AL143" s="49"/>
      <c r="AM143" s="49"/>
      <c r="AN143" s="49"/>
      <c r="AO143" s="49"/>
      <c r="AP143" s="49"/>
    </row>
    <row r="144" spans="37:42" x14ac:dyDescent="0.25">
      <c r="AK144" s="46"/>
      <c r="AL144" s="49"/>
      <c r="AM144" s="49"/>
      <c r="AN144" s="49"/>
      <c r="AO144" s="49"/>
      <c r="AP144" s="49"/>
    </row>
    <row r="145" spans="37:42" x14ac:dyDescent="0.25">
      <c r="AK145" s="46"/>
      <c r="AL145" s="49"/>
      <c r="AM145" s="49"/>
      <c r="AN145" s="49"/>
      <c r="AO145" s="49"/>
      <c r="AP145" s="49"/>
    </row>
    <row r="146" spans="37:42" x14ac:dyDescent="0.25">
      <c r="AK146" s="46"/>
      <c r="AL146" s="49"/>
      <c r="AM146" s="49"/>
      <c r="AN146" s="49"/>
      <c r="AO146" s="49"/>
      <c r="AP146" s="49"/>
    </row>
    <row r="147" spans="37:42" x14ac:dyDescent="0.25">
      <c r="AK147" s="46"/>
      <c r="AL147" s="49"/>
      <c r="AM147" s="49"/>
      <c r="AN147" s="49"/>
      <c r="AO147" s="49"/>
      <c r="AP147" s="49"/>
    </row>
    <row r="148" spans="37:42" x14ac:dyDescent="0.25">
      <c r="AK148" s="46"/>
      <c r="AL148" s="49"/>
      <c r="AM148" s="49"/>
      <c r="AN148" s="49"/>
      <c r="AO148" s="49"/>
      <c r="AP148" s="49"/>
    </row>
    <row r="149" spans="37:42" x14ac:dyDescent="0.25">
      <c r="AK149" s="46"/>
      <c r="AL149" s="49"/>
      <c r="AM149" s="49"/>
      <c r="AN149" s="49"/>
      <c r="AO149" s="49"/>
      <c r="AP149" s="49"/>
    </row>
    <row r="150" spans="37:42" x14ac:dyDescent="0.25">
      <c r="AK150" s="46"/>
      <c r="AL150" s="49"/>
      <c r="AM150" s="49"/>
      <c r="AN150" s="49"/>
      <c r="AO150" s="49"/>
      <c r="AP150" s="49"/>
    </row>
    <row r="151" spans="37:42" x14ac:dyDescent="0.25">
      <c r="AK151" s="46"/>
      <c r="AL151" s="49"/>
      <c r="AM151" s="49"/>
      <c r="AN151" s="49"/>
      <c r="AO151" s="49"/>
      <c r="AP151" s="49"/>
    </row>
    <row r="152" spans="37:42" x14ac:dyDescent="0.25">
      <c r="AK152" s="46"/>
      <c r="AL152" s="49"/>
      <c r="AM152" s="49"/>
      <c r="AN152" s="49"/>
      <c r="AO152" s="49"/>
      <c r="AP152" s="49"/>
    </row>
    <row r="153" spans="37:42" x14ac:dyDescent="0.25">
      <c r="AK153" s="46"/>
      <c r="AL153" s="49"/>
      <c r="AM153" s="49"/>
      <c r="AN153" s="49"/>
      <c r="AO153" s="49"/>
      <c r="AP153" s="49"/>
    </row>
    <row r="154" spans="37:42" x14ac:dyDescent="0.25">
      <c r="AK154" s="46"/>
      <c r="AL154" s="49"/>
      <c r="AM154" s="49"/>
      <c r="AN154" s="49"/>
      <c r="AO154" s="49"/>
      <c r="AP154" s="49"/>
    </row>
    <row r="155" spans="37:42" x14ac:dyDescent="0.25">
      <c r="AK155" s="46"/>
      <c r="AL155" s="49"/>
      <c r="AM155" s="49"/>
      <c r="AN155" s="49"/>
      <c r="AO155" s="49"/>
      <c r="AP155" s="49"/>
    </row>
    <row r="156" spans="37:42" x14ac:dyDescent="0.25">
      <c r="AK156" s="46"/>
      <c r="AL156" s="49"/>
      <c r="AM156" s="49"/>
      <c r="AN156" s="49"/>
      <c r="AO156" s="49"/>
      <c r="AP156" s="49"/>
    </row>
    <row r="157" spans="37:42" x14ac:dyDescent="0.25">
      <c r="AK157" s="46"/>
      <c r="AL157" s="49"/>
      <c r="AM157" s="49"/>
      <c r="AN157" s="49"/>
      <c r="AO157" s="49"/>
      <c r="AP157" s="49"/>
    </row>
    <row r="158" spans="37:42" x14ac:dyDescent="0.25">
      <c r="AK158" s="46"/>
      <c r="AL158" s="49"/>
      <c r="AM158" s="49"/>
      <c r="AN158" s="49"/>
      <c r="AO158" s="49"/>
      <c r="AP158" s="49"/>
    </row>
    <row r="159" spans="37:42" x14ac:dyDescent="0.25">
      <c r="AK159" s="46"/>
      <c r="AL159" s="49"/>
      <c r="AM159" s="49"/>
      <c r="AN159" s="49"/>
      <c r="AO159" s="49"/>
      <c r="AP159" s="49"/>
    </row>
    <row r="160" spans="37:42" x14ac:dyDescent="0.25">
      <c r="AK160" s="46"/>
      <c r="AL160" s="49"/>
      <c r="AM160" s="49"/>
      <c r="AN160" s="49"/>
      <c r="AO160" s="49"/>
      <c r="AP160" s="49"/>
    </row>
    <row r="161" spans="37:42" x14ac:dyDescent="0.25">
      <c r="AK161" s="46"/>
      <c r="AL161" s="49"/>
      <c r="AM161" s="49"/>
      <c r="AN161" s="49"/>
      <c r="AO161" s="49"/>
      <c r="AP161" s="49"/>
    </row>
    <row r="162" spans="37:42" x14ac:dyDescent="0.25">
      <c r="AK162" s="46"/>
      <c r="AL162" s="49"/>
      <c r="AM162" s="49"/>
      <c r="AN162" s="49"/>
      <c r="AO162" s="49"/>
      <c r="AP162" s="49"/>
    </row>
    <row r="163" spans="37:42" x14ac:dyDescent="0.25">
      <c r="AK163" s="46"/>
      <c r="AL163" s="49"/>
      <c r="AM163" s="49"/>
      <c r="AN163" s="49"/>
      <c r="AO163" s="49"/>
      <c r="AP163" s="49"/>
    </row>
    <row r="164" spans="37:42" x14ac:dyDescent="0.25">
      <c r="AK164" s="46"/>
      <c r="AL164" s="49"/>
      <c r="AM164" s="49"/>
      <c r="AN164" s="49"/>
      <c r="AO164" s="49"/>
      <c r="AP164" s="49"/>
    </row>
    <row r="165" spans="37:42" x14ac:dyDescent="0.25">
      <c r="AK165" s="46"/>
      <c r="AL165" s="49"/>
      <c r="AM165" s="49"/>
      <c r="AN165" s="49"/>
      <c r="AO165" s="49"/>
      <c r="AP165" s="49"/>
    </row>
    <row r="166" spans="37:42" x14ac:dyDescent="0.25">
      <c r="AK166" s="46"/>
      <c r="AL166" s="49"/>
      <c r="AM166" s="49"/>
      <c r="AN166" s="49"/>
      <c r="AO166" s="49"/>
      <c r="AP166" s="49"/>
    </row>
    <row r="167" spans="37:42" x14ac:dyDescent="0.25">
      <c r="AK167" s="46"/>
      <c r="AL167" s="49"/>
      <c r="AM167" s="49"/>
      <c r="AN167" s="49"/>
      <c r="AO167" s="49"/>
      <c r="AP167" s="49"/>
    </row>
    <row r="168" spans="37:42" x14ac:dyDescent="0.25">
      <c r="AK168" s="46"/>
      <c r="AL168" s="49"/>
      <c r="AM168" s="49"/>
      <c r="AN168" s="49"/>
      <c r="AO168" s="49"/>
      <c r="AP168" s="49"/>
    </row>
    <row r="169" spans="37:42" x14ac:dyDescent="0.25">
      <c r="AK169" s="46"/>
      <c r="AL169" s="49"/>
      <c r="AM169" s="49"/>
      <c r="AN169" s="49"/>
      <c r="AO169" s="49"/>
      <c r="AP169" s="49"/>
    </row>
    <row r="170" spans="37:42" x14ac:dyDescent="0.25">
      <c r="AK170" s="46"/>
      <c r="AL170" s="49"/>
      <c r="AM170" s="49"/>
      <c r="AN170" s="49"/>
      <c r="AO170" s="49"/>
      <c r="AP170" s="49"/>
    </row>
    <row r="171" spans="37:42" x14ac:dyDescent="0.25">
      <c r="AK171" s="46"/>
      <c r="AL171" s="49"/>
      <c r="AM171" s="49"/>
      <c r="AN171" s="49"/>
      <c r="AO171" s="49"/>
      <c r="AP171" s="49"/>
    </row>
    <row r="172" spans="37:42" x14ac:dyDescent="0.25">
      <c r="AK172" s="46"/>
      <c r="AL172" s="49"/>
      <c r="AM172" s="49"/>
      <c r="AN172" s="49"/>
      <c r="AO172" s="49"/>
      <c r="AP172" s="49"/>
    </row>
    <row r="173" spans="37:42" x14ac:dyDescent="0.25">
      <c r="AK173" s="46"/>
      <c r="AL173" s="49"/>
      <c r="AM173" s="49"/>
      <c r="AN173" s="49"/>
      <c r="AO173" s="49"/>
      <c r="AP173" s="49"/>
    </row>
    <row r="174" spans="37:42" x14ac:dyDescent="0.25">
      <c r="AK174" s="46"/>
      <c r="AL174" s="49"/>
      <c r="AM174" s="49"/>
      <c r="AN174" s="49"/>
      <c r="AO174" s="49"/>
      <c r="AP174" s="49"/>
    </row>
    <row r="175" spans="37:42" x14ac:dyDescent="0.25">
      <c r="AK175" s="46"/>
      <c r="AL175" s="49"/>
      <c r="AM175" s="49"/>
      <c r="AN175" s="49"/>
      <c r="AO175" s="49"/>
      <c r="AP175" s="49"/>
    </row>
    <row r="176" spans="37:42" x14ac:dyDescent="0.25">
      <c r="AK176" s="46"/>
      <c r="AL176" s="49"/>
      <c r="AM176" s="49"/>
      <c r="AN176" s="49"/>
      <c r="AO176" s="49"/>
      <c r="AP176" s="49"/>
    </row>
    <row r="177" spans="37:42" x14ac:dyDescent="0.25">
      <c r="AK177" s="46"/>
      <c r="AL177" s="49"/>
      <c r="AM177" s="49"/>
      <c r="AN177" s="49"/>
      <c r="AO177" s="49"/>
      <c r="AP177" s="49"/>
    </row>
    <row r="178" spans="37:42" x14ac:dyDescent="0.25">
      <c r="AK178" s="46"/>
      <c r="AL178" s="49"/>
      <c r="AM178" s="49"/>
      <c r="AN178" s="49"/>
      <c r="AO178" s="49"/>
      <c r="AP178" s="49"/>
    </row>
    <row r="179" spans="37:42" x14ac:dyDescent="0.25">
      <c r="AK179" s="46"/>
      <c r="AL179" s="49"/>
      <c r="AM179" s="49"/>
      <c r="AN179" s="49"/>
      <c r="AO179" s="49"/>
      <c r="AP179" s="49"/>
    </row>
    <row r="180" spans="37:42" x14ac:dyDescent="0.25">
      <c r="AK180" s="46"/>
      <c r="AL180" s="49"/>
      <c r="AM180" s="49"/>
      <c r="AN180" s="49"/>
      <c r="AO180" s="49"/>
      <c r="AP180" s="49"/>
    </row>
    <row r="181" spans="37:42" x14ac:dyDescent="0.25">
      <c r="AK181" s="46"/>
      <c r="AL181" s="49"/>
      <c r="AM181" s="49"/>
      <c r="AN181" s="49"/>
      <c r="AO181" s="49"/>
      <c r="AP181" s="49"/>
    </row>
    <row r="182" spans="37:42" x14ac:dyDescent="0.25">
      <c r="AK182" s="46"/>
      <c r="AL182" s="49"/>
      <c r="AM182" s="49"/>
      <c r="AN182" s="49"/>
      <c r="AO182" s="49"/>
      <c r="AP182" s="49"/>
    </row>
    <row r="183" spans="37:42" x14ac:dyDescent="0.25">
      <c r="AK183" s="46"/>
      <c r="AL183" s="49"/>
      <c r="AM183" s="49"/>
      <c r="AN183" s="49"/>
      <c r="AO183" s="49"/>
      <c r="AP183" s="49"/>
    </row>
    <row r="184" spans="37:42" x14ac:dyDescent="0.25">
      <c r="AK184" s="46"/>
      <c r="AL184" s="49"/>
      <c r="AM184" s="49"/>
      <c r="AN184" s="49"/>
      <c r="AO184" s="49"/>
      <c r="AP184" s="49"/>
    </row>
    <row r="185" spans="37:42" x14ac:dyDescent="0.25">
      <c r="AK185" s="46"/>
      <c r="AL185" s="49"/>
      <c r="AM185" s="49"/>
      <c r="AN185" s="49"/>
      <c r="AO185" s="49"/>
      <c r="AP185" s="49"/>
    </row>
    <row r="186" spans="37:42" x14ac:dyDescent="0.25">
      <c r="AK186" s="46"/>
      <c r="AL186" s="49"/>
      <c r="AM186" s="49"/>
      <c r="AN186" s="49"/>
      <c r="AO186" s="49"/>
      <c r="AP186" s="49"/>
    </row>
    <row r="187" spans="37:42" x14ac:dyDescent="0.25">
      <c r="AK187" s="46"/>
      <c r="AL187" s="49"/>
      <c r="AM187" s="49"/>
      <c r="AN187" s="49"/>
      <c r="AO187" s="49"/>
      <c r="AP187" s="49"/>
    </row>
    <row r="188" spans="37:42" x14ac:dyDescent="0.25">
      <c r="AK188" s="46"/>
      <c r="AL188" s="49"/>
      <c r="AM188" s="49"/>
      <c r="AN188" s="49"/>
      <c r="AO188" s="49"/>
      <c r="AP188" s="49"/>
    </row>
    <row r="189" spans="37:42" x14ac:dyDescent="0.25">
      <c r="AK189" s="46"/>
      <c r="AL189" s="49"/>
      <c r="AM189" s="49"/>
      <c r="AN189" s="49"/>
      <c r="AO189" s="49"/>
      <c r="AP189" s="49"/>
    </row>
    <row r="190" spans="37:42" x14ac:dyDescent="0.25">
      <c r="AK190" s="46"/>
      <c r="AL190" s="49"/>
      <c r="AM190" s="49"/>
      <c r="AN190" s="49"/>
      <c r="AO190" s="49"/>
      <c r="AP190" s="49"/>
    </row>
    <row r="191" spans="37:42" x14ac:dyDescent="0.25">
      <c r="AK191" s="46"/>
      <c r="AL191" s="49"/>
      <c r="AM191" s="49"/>
      <c r="AN191" s="49"/>
      <c r="AO191" s="49"/>
      <c r="AP191" s="49"/>
    </row>
    <row r="192" spans="37:42" x14ac:dyDescent="0.25">
      <c r="AK192" s="46"/>
      <c r="AL192" s="49"/>
      <c r="AM192" s="49"/>
      <c r="AN192" s="49"/>
      <c r="AO192" s="49"/>
      <c r="AP192" s="49"/>
    </row>
    <row r="193" spans="37:42" x14ac:dyDescent="0.25">
      <c r="AK193" s="46"/>
      <c r="AL193" s="49"/>
      <c r="AM193" s="49"/>
      <c r="AN193" s="49"/>
      <c r="AO193" s="49"/>
      <c r="AP193" s="49"/>
    </row>
    <row r="194" spans="37:42" x14ac:dyDescent="0.25">
      <c r="AK194" s="46"/>
      <c r="AL194" s="49"/>
      <c r="AM194" s="49"/>
      <c r="AN194" s="49"/>
      <c r="AO194" s="49"/>
      <c r="AP194" s="49"/>
    </row>
    <row r="195" spans="37:42" x14ac:dyDescent="0.25">
      <c r="AK195" s="46"/>
      <c r="AL195" s="49"/>
      <c r="AM195" s="49"/>
      <c r="AN195" s="49"/>
      <c r="AO195" s="49"/>
      <c r="AP195" s="49"/>
    </row>
    <row r="196" spans="37:42" x14ac:dyDescent="0.25">
      <c r="AK196" s="46"/>
      <c r="AL196" s="49"/>
      <c r="AM196" s="49"/>
      <c r="AN196" s="49"/>
      <c r="AO196" s="49"/>
      <c r="AP196" s="49"/>
    </row>
    <row r="197" spans="37:42" x14ac:dyDescent="0.25">
      <c r="AK197" s="46"/>
      <c r="AL197" s="49"/>
      <c r="AM197" s="49"/>
      <c r="AN197" s="49"/>
      <c r="AO197" s="49"/>
      <c r="AP197" s="49"/>
    </row>
    <row r="198" spans="37:42" x14ac:dyDescent="0.25">
      <c r="AK198" s="46"/>
      <c r="AL198" s="49"/>
      <c r="AM198" s="49"/>
      <c r="AN198" s="49"/>
      <c r="AO198" s="49"/>
      <c r="AP198" s="49"/>
    </row>
    <row r="199" spans="37:42" x14ac:dyDescent="0.25">
      <c r="AK199" s="46"/>
      <c r="AL199" s="49"/>
      <c r="AM199" s="49"/>
      <c r="AN199" s="49"/>
      <c r="AO199" s="49"/>
      <c r="AP199" s="49"/>
    </row>
    <row r="200" spans="37:42" x14ac:dyDescent="0.25">
      <c r="AK200" s="46"/>
      <c r="AL200" s="49"/>
      <c r="AM200" s="49"/>
      <c r="AN200" s="49"/>
      <c r="AO200" s="49"/>
      <c r="AP200" s="49"/>
    </row>
    <row r="201" spans="37:42" x14ac:dyDescent="0.25">
      <c r="AK201" s="46"/>
      <c r="AL201" s="49"/>
      <c r="AM201" s="49"/>
      <c r="AN201" s="49"/>
      <c r="AO201" s="49"/>
      <c r="AP201" s="49"/>
    </row>
    <row r="202" spans="37:42" x14ac:dyDescent="0.25">
      <c r="AK202" s="46"/>
      <c r="AL202" s="49"/>
      <c r="AM202" s="49"/>
      <c r="AN202" s="49"/>
      <c r="AO202" s="49"/>
      <c r="AP202" s="49"/>
    </row>
    <row r="203" spans="37:42" x14ac:dyDescent="0.25">
      <c r="AK203" s="46"/>
      <c r="AL203" s="49"/>
      <c r="AM203" s="49"/>
      <c r="AN203" s="49"/>
      <c r="AO203" s="49"/>
      <c r="AP203" s="49"/>
    </row>
    <row r="204" spans="37:42" x14ac:dyDescent="0.25">
      <c r="AK204" s="46"/>
      <c r="AL204" s="49"/>
      <c r="AM204" s="49"/>
      <c r="AN204" s="49"/>
      <c r="AO204" s="49"/>
      <c r="AP204" s="49"/>
    </row>
    <row r="205" spans="37:42" x14ac:dyDescent="0.25">
      <c r="AK205" s="46"/>
      <c r="AL205" s="49"/>
      <c r="AM205" s="49"/>
      <c r="AN205" s="49"/>
      <c r="AO205" s="49"/>
      <c r="AP205" s="49"/>
    </row>
    <row r="206" spans="37:42" x14ac:dyDescent="0.25">
      <c r="AK206" s="46"/>
      <c r="AL206" s="49"/>
      <c r="AM206" s="49"/>
      <c r="AN206" s="49"/>
      <c r="AO206" s="49"/>
      <c r="AP206" s="49"/>
    </row>
    <row r="207" spans="37:42" x14ac:dyDescent="0.25">
      <c r="AK207" s="46"/>
      <c r="AL207" s="49"/>
      <c r="AM207" s="49"/>
      <c r="AN207" s="49"/>
      <c r="AO207" s="49"/>
      <c r="AP207" s="49"/>
    </row>
    <row r="208" spans="37:42" x14ac:dyDescent="0.25">
      <c r="AK208" s="46"/>
      <c r="AL208" s="49"/>
      <c r="AM208" s="49"/>
      <c r="AN208" s="49"/>
      <c r="AO208" s="49"/>
      <c r="AP208" s="49"/>
    </row>
    <row r="209" spans="31:42" x14ac:dyDescent="0.25">
      <c r="AE209" s="34"/>
      <c r="AF209" s="34"/>
      <c r="AK209" s="46"/>
      <c r="AL209" s="49"/>
      <c r="AM209" s="49"/>
      <c r="AN209" s="49"/>
      <c r="AO209" s="49"/>
      <c r="AP209" s="49"/>
    </row>
    <row r="210" spans="31:42" x14ac:dyDescent="0.25">
      <c r="AK210" s="46"/>
      <c r="AL210" s="49"/>
      <c r="AM210" s="49"/>
      <c r="AN210" s="49"/>
      <c r="AO210" s="49"/>
      <c r="AP210" s="49"/>
    </row>
    <row r="211" spans="31:42" x14ac:dyDescent="0.25">
      <c r="AK211" s="46"/>
      <c r="AL211" s="49"/>
      <c r="AM211" s="49"/>
      <c r="AN211" s="49"/>
      <c r="AO211" s="49"/>
      <c r="AP211" s="49"/>
    </row>
    <row r="212" spans="31:42" x14ac:dyDescent="0.25">
      <c r="AK212" s="46"/>
      <c r="AL212" s="49"/>
      <c r="AM212" s="49"/>
      <c r="AN212" s="49"/>
      <c r="AO212" s="49"/>
      <c r="AP212" s="49"/>
    </row>
    <row r="213" spans="31:42" x14ac:dyDescent="0.25">
      <c r="AK213" s="46"/>
      <c r="AL213" s="49"/>
      <c r="AM213" s="49"/>
      <c r="AN213" s="49"/>
      <c r="AO213" s="49"/>
      <c r="AP213" s="49"/>
    </row>
    <row r="214" spans="31:42" x14ac:dyDescent="0.25">
      <c r="AK214" s="46"/>
      <c r="AL214" s="49"/>
      <c r="AM214" s="49"/>
      <c r="AN214" s="49"/>
      <c r="AO214" s="49"/>
      <c r="AP214" s="49"/>
    </row>
    <row r="215" spans="31:42" x14ac:dyDescent="0.25">
      <c r="AK215" s="46"/>
      <c r="AL215" s="49"/>
      <c r="AM215" s="49"/>
      <c r="AN215" s="49"/>
      <c r="AO215" s="49"/>
      <c r="AP215" s="49"/>
    </row>
    <row r="216" spans="31:42" x14ac:dyDescent="0.25">
      <c r="AK216" s="46"/>
      <c r="AL216" s="49"/>
      <c r="AM216" s="49"/>
      <c r="AN216" s="49"/>
      <c r="AO216" s="49"/>
      <c r="AP216" s="49"/>
    </row>
    <row r="217" spans="31:42" x14ac:dyDescent="0.25">
      <c r="AE217" s="36"/>
      <c r="AF217" s="36"/>
      <c r="AK217" s="46"/>
      <c r="AL217" s="49"/>
      <c r="AM217" s="49"/>
      <c r="AN217" s="49"/>
      <c r="AO217" s="49"/>
      <c r="AP217" s="49"/>
    </row>
    <row r="218" spans="31:42" x14ac:dyDescent="0.25">
      <c r="AK218" s="46"/>
      <c r="AL218" s="49"/>
      <c r="AM218" s="49"/>
      <c r="AN218" s="49"/>
      <c r="AO218" s="49"/>
      <c r="AP218" s="49"/>
    </row>
    <row r="219" spans="31:42" x14ac:dyDescent="0.25">
      <c r="AK219" s="46"/>
      <c r="AL219" s="49"/>
      <c r="AM219" s="49"/>
      <c r="AN219" s="49"/>
      <c r="AO219" s="49"/>
      <c r="AP219" s="49"/>
    </row>
    <row r="220" spans="31:42" x14ac:dyDescent="0.25">
      <c r="AK220" s="46"/>
      <c r="AL220" s="49"/>
      <c r="AM220" s="49"/>
      <c r="AN220" s="49"/>
      <c r="AO220" s="49"/>
      <c r="AP220" s="49"/>
    </row>
    <row r="221" spans="31:42" x14ac:dyDescent="0.25">
      <c r="AK221" s="46"/>
      <c r="AL221" s="49"/>
      <c r="AM221" s="49"/>
      <c r="AN221" s="49"/>
      <c r="AO221" s="49"/>
      <c r="AP221" s="49"/>
    </row>
    <row r="222" spans="31:42" x14ac:dyDescent="0.25">
      <c r="AK222" s="46"/>
      <c r="AL222" s="49"/>
      <c r="AM222" s="49"/>
      <c r="AN222" s="49"/>
      <c r="AO222" s="49"/>
      <c r="AP222" s="49"/>
    </row>
    <row r="223" spans="31:42" x14ac:dyDescent="0.25">
      <c r="AK223" s="46"/>
      <c r="AL223" s="49"/>
      <c r="AM223" s="49"/>
      <c r="AN223" s="49"/>
      <c r="AO223" s="49"/>
      <c r="AP223" s="49"/>
    </row>
    <row r="224" spans="31:42" x14ac:dyDescent="0.25">
      <c r="AK224" s="46"/>
      <c r="AL224" s="49"/>
      <c r="AM224" s="49"/>
      <c r="AN224" s="49"/>
      <c r="AO224" s="49"/>
      <c r="AP224" s="49"/>
    </row>
    <row r="225" spans="37:42" x14ac:dyDescent="0.25">
      <c r="AK225" s="46"/>
      <c r="AL225" s="49"/>
      <c r="AM225" s="49"/>
      <c r="AN225" s="49"/>
      <c r="AO225" s="49"/>
      <c r="AP225" s="49"/>
    </row>
    <row r="226" spans="37:42" x14ac:dyDescent="0.25">
      <c r="AK226" s="46"/>
      <c r="AL226" s="49"/>
      <c r="AM226" s="49"/>
      <c r="AN226" s="49"/>
      <c r="AO226" s="49"/>
      <c r="AP226" s="49"/>
    </row>
    <row r="227" spans="37:42" x14ac:dyDescent="0.25">
      <c r="AK227" s="46"/>
      <c r="AL227" s="49"/>
      <c r="AM227" s="49"/>
      <c r="AN227" s="49"/>
      <c r="AO227" s="49"/>
      <c r="AP227" s="49"/>
    </row>
    <row r="228" spans="37:42" x14ac:dyDescent="0.25">
      <c r="AK228" s="46"/>
      <c r="AL228" s="49"/>
      <c r="AM228" s="49"/>
      <c r="AN228" s="49"/>
      <c r="AO228" s="49"/>
      <c r="AP228" s="49"/>
    </row>
    <row r="229" spans="37:42" x14ac:dyDescent="0.25">
      <c r="AK229" s="46"/>
      <c r="AL229" s="49"/>
      <c r="AM229" s="49"/>
      <c r="AN229" s="49"/>
      <c r="AO229" s="49"/>
      <c r="AP229" s="49"/>
    </row>
    <row r="230" spans="37:42" x14ac:dyDescent="0.25">
      <c r="AK230" s="46"/>
      <c r="AL230" s="49"/>
      <c r="AM230" s="49"/>
      <c r="AN230" s="49"/>
      <c r="AO230" s="49"/>
      <c r="AP230" s="49"/>
    </row>
    <row r="231" spans="37:42" x14ac:dyDescent="0.25">
      <c r="AK231" s="46"/>
      <c r="AL231" s="49"/>
      <c r="AM231" s="49"/>
      <c r="AN231" s="49"/>
      <c r="AO231" s="49"/>
      <c r="AP231" s="49"/>
    </row>
    <row r="232" spans="37:42" x14ac:dyDescent="0.25">
      <c r="AK232" s="46"/>
      <c r="AL232" s="49"/>
      <c r="AM232" s="49"/>
      <c r="AN232" s="49"/>
      <c r="AO232" s="49"/>
      <c r="AP232" s="49"/>
    </row>
    <row r="233" spans="37:42" x14ac:dyDescent="0.25">
      <c r="AK233" s="46"/>
      <c r="AL233" s="49"/>
      <c r="AM233" s="49"/>
      <c r="AN233" s="49"/>
      <c r="AO233" s="49"/>
      <c r="AP233" s="49"/>
    </row>
    <row r="234" spans="37:42" x14ac:dyDescent="0.25">
      <c r="AK234" s="46"/>
      <c r="AL234" s="49"/>
      <c r="AM234" s="49"/>
      <c r="AN234" s="49"/>
      <c r="AO234" s="49"/>
      <c r="AP234" s="49"/>
    </row>
    <row r="235" spans="37:42" x14ac:dyDescent="0.25">
      <c r="AK235" s="46"/>
      <c r="AL235" s="49"/>
      <c r="AM235" s="49"/>
      <c r="AN235" s="49"/>
      <c r="AO235" s="49"/>
      <c r="AP235" s="49"/>
    </row>
    <row r="236" spans="37:42" x14ac:dyDescent="0.25">
      <c r="AK236" s="46"/>
      <c r="AL236" s="49"/>
      <c r="AM236" s="49"/>
      <c r="AN236" s="49"/>
      <c r="AO236" s="49"/>
      <c r="AP236" s="49"/>
    </row>
    <row r="237" spans="37:42" x14ac:dyDescent="0.25">
      <c r="AK237" s="46"/>
      <c r="AL237" s="49"/>
      <c r="AM237" s="49"/>
      <c r="AN237" s="49"/>
      <c r="AO237" s="49"/>
      <c r="AP237" s="49"/>
    </row>
    <row r="238" spans="37:42" x14ac:dyDescent="0.25">
      <c r="AK238" s="46"/>
      <c r="AL238" s="49"/>
      <c r="AM238" s="49"/>
      <c r="AN238" s="49"/>
      <c r="AO238" s="49"/>
      <c r="AP238" s="49"/>
    </row>
    <row r="239" spans="37:42" x14ac:dyDescent="0.25">
      <c r="AK239" s="46"/>
      <c r="AL239" s="49"/>
      <c r="AM239" s="49"/>
      <c r="AN239" s="49"/>
      <c r="AO239" s="49"/>
      <c r="AP239" s="49"/>
    </row>
    <row r="240" spans="37:42" x14ac:dyDescent="0.25">
      <c r="AK240" s="46"/>
      <c r="AL240" s="49"/>
      <c r="AM240" s="49"/>
      <c r="AN240" s="49"/>
      <c r="AO240" s="49"/>
      <c r="AP240" s="49"/>
    </row>
    <row r="241" spans="37:42" x14ac:dyDescent="0.25">
      <c r="AK241" s="46"/>
      <c r="AL241" s="49"/>
      <c r="AM241" s="49"/>
      <c r="AN241" s="49"/>
      <c r="AO241" s="49"/>
      <c r="AP241" s="49"/>
    </row>
    <row r="242" spans="37:42" x14ac:dyDescent="0.25">
      <c r="AK242" s="46"/>
      <c r="AL242" s="49"/>
      <c r="AM242" s="49"/>
      <c r="AN242" s="49"/>
      <c r="AO242" s="49"/>
      <c r="AP242" s="49"/>
    </row>
    <row r="243" spans="37:42" x14ac:dyDescent="0.25">
      <c r="AK243" s="46"/>
      <c r="AL243" s="49"/>
      <c r="AM243" s="49"/>
      <c r="AN243" s="49"/>
      <c r="AO243" s="49"/>
      <c r="AP243" s="49"/>
    </row>
    <row r="244" spans="37:42" x14ac:dyDescent="0.25">
      <c r="AK244" s="46"/>
      <c r="AL244" s="49"/>
      <c r="AM244" s="49"/>
      <c r="AN244" s="49"/>
      <c r="AO244" s="49"/>
      <c r="AP244" s="49"/>
    </row>
    <row r="245" spans="37:42" x14ac:dyDescent="0.25">
      <c r="AK245" s="46"/>
      <c r="AL245" s="49"/>
      <c r="AM245" s="49"/>
      <c r="AN245" s="49"/>
      <c r="AO245" s="49"/>
      <c r="AP245" s="49"/>
    </row>
    <row r="246" spans="37:42" x14ac:dyDescent="0.25">
      <c r="AK246" s="46"/>
      <c r="AL246" s="49"/>
      <c r="AM246" s="49"/>
      <c r="AN246" s="49"/>
      <c r="AO246" s="49"/>
      <c r="AP246" s="49"/>
    </row>
    <row r="247" spans="37:42" x14ac:dyDescent="0.25">
      <c r="AK247" s="46"/>
      <c r="AL247" s="49"/>
      <c r="AM247" s="49"/>
      <c r="AN247" s="49"/>
      <c r="AO247" s="49"/>
      <c r="AP247" s="49"/>
    </row>
    <row r="248" spans="37:42" x14ac:dyDescent="0.25">
      <c r="AK248" s="46"/>
      <c r="AL248" s="49"/>
      <c r="AM248" s="49"/>
      <c r="AN248" s="49"/>
      <c r="AO248" s="49"/>
      <c r="AP248" s="49"/>
    </row>
    <row r="249" spans="37:42" x14ac:dyDescent="0.25">
      <c r="AK249" s="46"/>
      <c r="AL249" s="49"/>
      <c r="AM249" s="49"/>
      <c r="AN249" s="49"/>
      <c r="AO249" s="49"/>
      <c r="AP249" s="49"/>
    </row>
    <row r="250" spans="37:42" x14ac:dyDescent="0.25">
      <c r="AK250" s="46"/>
      <c r="AL250" s="49"/>
      <c r="AM250" s="49"/>
      <c r="AN250" s="49"/>
      <c r="AO250" s="49"/>
      <c r="AP250" s="49"/>
    </row>
    <row r="251" spans="37:42" x14ac:dyDescent="0.25">
      <c r="AK251" s="46"/>
      <c r="AL251" s="49"/>
      <c r="AM251" s="49"/>
      <c r="AN251" s="49"/>
      <c r="AO251" s="49"/>
      <c r="AP251" s="49"/>
    </row>
    <row r="252" spans="37:42" x14ac:dyDescent="0.25">
      <c r="AK252" s="46"/>
      <c r="AL252" s="49"/>
      <c r="AM252" s="49"/>
      <c r="AN252" s="49"/>
      <c r="AO252" s="49"/>
      <c r="AP252" s="49"/>
    </row>
    <row r="253" spans="37:42" x14ac:dyDescent="0.25">
      <c r="AK253" s="46"/>
      <c r="AL253" s="49"/>
      <c r="AM253" s="49"/>
      <c r="AN253" s="49"/>
      <c r="AO253" s="49"/>
      <c r="AP253" s="49"/>
    </row>
    <row r="254" spans="37:42" x14ac:dyDescent="0.25">
      <c r="AK254" s="46"/>
      <c r="AL254" s="49"/>
      <c r="AM254" s="49"/>
      <c r="AN254" s="49"/>
      <c r="AO254" s="49"/>
      <c r="AP254" s="49"/>
    </row>
    <row r="255" spans="37:42" x14ac:dyDescent="0.25">
      <c r="AK255" s="46"/>
      <c r="AL255" s="49"/>
      <c r="AM255" s="49"/>
      <c r="AN255" s="49"/>
      <c r="AO255" s="49"/>
      <c r="AP255" s="49"/>
    </row>
    <row r="256" spans="37:42" x14ac:dyDescent="0.25">
      <c r="AK256" s="46"/>
      <c r="AL256" s="49"/>
      <c r="AM256" s="49"/>
      <c r="AN256" s="49"/>
      <c r="AO256" s="49"/>
      <c r="AP256" s="49"/>
    </row>
    <row r="257" spans="37:42" x14ac:dyDescent="0.25">
      <c r="AK257" s="46"/>
      <c r="AL257" s="49"/>
      <c r="AM257" s="49"/>
      <c r="AN257" s="49"/>
      <c r="AO257" s="49"/>
      <c r="AP257" s="49"/>
    </row>
    <row r="258" spans="37:42" x14ac:dyDescent="0.25">
      <c r="AK258" s="46"/>
      <c r="AL258" s="49"/>
      <c r="AM258" s="49"/>
      <c r="AN258" s="49"/>
      <c r="AO258" s="49"/>
      <c r="AP258" s="49"/>
    </row>
    <row r="259" spans="37:42" x14ac:dyDescent="0.25">
      <c r="AK259" s="46"/>
      <c r="AL259" s="49"/>
      <c r="AM259" s="49"/>
      <c r="AN259" s="49"/>
      <c r="AO259" s="49"/>
      <c r="AP259" s="49"/>
    </row>
    <row r="260" spans="37:42" x14ac:dyDescent="0.25">
      <c r="AK260" s="46"/>
      <c r="AL260" s="49"/>
      <c r="AM260" s="49"/>
      <c r="AN260" s="49"/>
      <c r="AO260" s="49"/>
      <c r="AP260" s="49"/>
    </row>
    <row r="261" spans="37:42" x14ac:dyDescent="0.25">
      <c r="AK261" s="46"/>
      <c r="AL261" s="49"/>
      <c r="AM261" s="49"/>
      <c r="AN261" s="49"/>
      <c r="AO261" s="49"/>
      <c r="AP261" s="49"/>
    </row>
    <row r="262" spans="37:42" x14ac:dyDescent="0.25">
      <c r="AK262" s="46"/>
      <c r="AL262" s="49"/>
      <c r="AM262" s="49"/>
      <c r="AN262" s="49"/>
      <c r="AO262" s="49"/>
      <c r="AP262" s="49"/>
    </row>
    <row r="263" spans="37:42" x14ac:dyDescent="0.25">
      <c r="AK263" s="46"/>
      <c r="AL263" s="49"/>
      <c r="AM263" s="49"/>
      <c r="AN263" s="49"/>
      <c r="AO263" s="49"/>
      <c r="AP263" s="49"/>
    </row>
    <row r="264" spans="37:42" x14ac:dyDescent="0.25">
      <c r="AK264" s="46"/>
      <c r="AL264" s="49"/>
      <c r="AM264" s="49"/>
      <c r="AN264" s="49"/>
      <c r="AO264" s="49"/>
      <c r="AP264" s="49"/>
    </row>
    <row r="265" spans="37:42" x14ac:dyDescent="0.25">
      <c r="AK265" s="46"/>
      <c r="AL265" s="49"/>
      <c r="AM265" s="49"/>
      <c r="AN265" s="49"/>
      <c r="AO265" s="49"/>
      <c r="AP265" s="49"/>
    </row>
    <row r="266" spans="37:42" x14ac:dyDescent="0.25">
      <c r="AK266" s="46"/>
      <c r="AL266" s="49"/>
      <c r="AM266" s="49"/>
      <c r="AN266" s="49"/>
      <c r="AO266" s="49"/>
      <c r="AP266" s="49"/>
    </row>
    <row r="267" spans="37:42" x14ac:dyDescent="0.25">
      <c r="AK267" s="46"/>
      <c r="AL267" s="49"/>
      <c r="AM267" s="49"/>
      <c r="AN267" s="49"/>
      <c r="AO267" s="49"/>
      <c r="AP267" s="49"/>
    </row>
    <row r="268" spans="37:42" x14ac:dyDescent="0.25">
      <c r="AK268" s="46"/>
      <c r="AL268" s="49"/>
      <c r="AM268" s="49"/>
      <c r="AN268" s="49"/>
      <c r="AO268" s="49"/>
      <c r="AP268" s="49"/>
    </row>
    <row r="269" spans="37:42" x14ac:dyDescent="0.25">
      <c r="AK269" s="46"/>
      <c r="AL269" s="49"/>
      <c r="AM269" s="49"/>
      <c r="AN269" s="49"/>
      <c r="AO269" s="49"/>
      <c r="AP269" s="49"/>
    </row>
    <row r="270" spans="37:42" x14ac:dyDescent="0.25">
      <c r="AK270" s="46"/>
      <c r="AL270" s="49"/>
      <c r="AM270" s="49"/>
      <c r="AN270" s="49"/>
      <c r="AO270" s="49"/>
      <c r="AP270" s="49"/>
    </row>
    <row r="271" spans="37:42" x14ac:dyDescent="0.25">
      <c r="AK271" s="46"/>
      <c r="AL271" s="49"/>
      <c r="AM271" s="49"/>
      <c r="AN271" s="49"/>
      <c r="AO271" s="49"/>
      <c r="AP271" s="49"/>
    </row>
    <row r="272" spans="37:42" x14ac:dyDescent="0.25">
      <c r="AK272" s="46"/>
      <c r="AL272" s="49"/>
      <c r="AM272" s="49"/>
      <c r="AN272" s="49"/>
      <c r="AO272" s="49"/>
      <c r="AP272" s="49"/>
    </row>
    <row r="273" spans="37:42" x14ac:dyDescent="0.25">
      <c r="AK273" s="46"/>
      <c r="AL273" s="49"/>
      <c r="AM273" s="49"/>
      <c r="AN273" s="49"/>
      <c r="AO273" s="49"/>
      <c r="AP273" s="49"/>
    </row>
    <row r="274" spans="37:42" x14ac:dyDescent="0.25">
      <c r="AK274" s="46"/>
      <c r="AL274" s="49"/>
      <c r="AM274" s="49"/>
      <c r="AN274" s="49"/>
      <c r="AO274" s="49"/>
      <c r="AP274" s="49"/>
    </row>
    <row r="275" spans="37:42" x14ac:dyDescent="0.25">
      <c r="AK275" s="46"/>
      <c r="AL275" s="49"/>
      <c r="AM275" s="49"/>
      <c r="AN275" s="49"/>
      <c r="AO275" s="49"/>
      <c r="AP275" s="49"/>
    </row>
    <row r="276" spans="37:42" x14ac:dyDescent="0.25">
      <c r="AK276" s="46"/>
      <c r="AL276" s="49"/>
      <c r="AM276" s="49"/>
      <c r="AN276" s="49"/>
      <c r="AO276" s="49"/>
      <c r="AP276" s="49"/>
    </row>
    <row r="277" spans="37:42" x14ac:dyDescent="0.25">
      <c r="AK277" s="46"/>
      <c r="AL277" s="49"/>
      <c r="AM277" s="49"/>
      <c r="AN277" s="49"/>
      <c r="AO277" s="49"/>
      <c r="AP277" s="49"/>
    </row>
    <row r="278" spans="37:42" x14ac:dyDescent="0.25">
      <c r="AK278" s="46"/>
      <c r="AL278" s="49"/>
      <c r="AM278" s="49"/>
      <c r="AN278" s="49"/>
      <c r="AO278" s="49"/>
      <c r="AP278" s="49"/>
    </row>
    <row r="279" spans="37:42" x14ac:dyDescent="0.25">
      <c r="AK279" s="46"/>
      <c r="AL279" s="49"/>
      <c r="AM279" s="49"/>
      <c r="AN279" s="49"/>
      <c r="AO279" s="49"/>
      <c r="AP279" s="49"/>
    </row>
    <row r="280" spans="37:42" x14ac:dyDescent="0.25">
      <c r="AK280" s="46"/>
      <c r="AL280" s="49"/>
      <c r="AM280" s="49"/>
      <c r="AN280" s="49"/>
      <c r="AO280" s="49"/>
      <c r="AP280" s="49"/>
    </row>
    <row r="281" spans="37:42" x14ac:dyDescent="0.25">
      <c r="AK281" s="46"/>
      <c r="AL281" s="49"/>
      <c r="AM281" s="49"/>
      <c r="AN281" s="49"/>
      <c r="AO281" s="49"/>
      <c r="AP281" s="49"/>
    </row>
    <row r="282" spans="37:42" x14ac:dyDescent="0.25">
      <c r="AK282" s="46"/>
      <c r="AL282" s="49"/>
      <c r="AM282" s="49"/>
      <c r="AN282" s="49"/>
      <c r="AO282" s="49"/>
      <c r="AP282" s="49"/>
    </row>
    <row r="283" spans="37:42" x14ac:dyDescent="0.25">
      <c r="AK283" s="46"/>
      <c r="AL283" s="49"/>
      <c r="AM283" s="49"/>
      <c r="AN283" s="49"/>
      <c r="AO283" s="49"/>
      <c r="AP283" s="49"/>
    </row>
    <row r="284" spans="37:42" x14ac:dyDescent="0.25">
      <c r="AK284" s="46"/>
      <c r="AL284" s="49"/>
      <c r="AM284" s="49"/>
      <c r="AN284" s="49"/>
      <c r="AO284" s="49"/>
      <c r="AP284" s="49"/>
    </row>
    <row r="285" spans="37:42" x14ac:dyDescent="0.25">
      <c r="AK285" s="46"/>
      <c r="AL285" s="49"/>
      <c r="AM285" s="49"/>
      <c r="AN285" s="49"/>
      <c r="AO285" s="49"/>
      <c r="AP285" s="49"/>
    </row>
    <row r="286" spans="37:42" x14ac:dyDescent="0.25">
      <c r="AK286" s="46"/>
      <c r="AL286" s="49"/>
      <c r="AM286" s="49"/>
      <c r="AN286" s="49"/>
      <c r="AO286" s="49"/>
      <c r="AP286" s="49"/>
    </row>
    <row r="287" spans="37:42" x14ac:dyDescent="0.25">
      <c r="AK287" s="46"/>
      <c r="AL287" s="49"/>
      <c r="AM287" s="49"/>
      <c r="AN287" s="49"/>
      <c r="AO287" s="49"/>
      <c r="AP287" s="49"/>
    </row>
    <row r="288" spans="37:42" x14ac:dyDescent="0.25">
      <c r="AK288" s="46"/>
      <c r="AL288" s="49"/>
      <c r="AM288" s="49"/>
      <c r="AN288" s="49"/>
      <c r="AO288" s="49"/>
      <c r="AP288" s="49"/>
    </row>
    <row r="289" spans="37:42" x14ac:dyDescent="0.25">
      <c r="AK289" s="46"/>
      <c r="AL289" s="49"/>
      <c r="AM289" s="49"/>
      <c r="AN289" s="49"/>
      <c r="AO289" s="49"/>
      <c r="AP289" s="49"/>
    </row>
    <row r="290" spans="37:42" x14ac:dyDescent="0.25">
      <c r="AK290" s="46"/>
      <c r="AL290" s="49"/>
      <c r="AM290" s="49"/>
      <c r="AN290" s="49"/>
      <c r="AO290" s="49"/>
      <c r="AP290" s="49"/>
    </row>
    <row r="291" spans="37:42" x14ac:dyDescent="0.25">
      <c r="AK291" s="46"/>
      <c r="AL291" s="49"/>
      <c r="AM291" s="49"/>
      <c r="AN291" s="49"/>
      <c r="AO291" s="49"/>
      <c r="AP291" s="49"/>
    </row>
    <row r="292" spans="37:42" x14ac:dyDescent="0.25">
      <c r="AK292" s="46"/>
      <c r="AL292" s="49"/>
      <c r="AM292" s="49"/>
      <c r="AN292" s="49"/>
      <c r="AO292" s="49"/>
      <c r="AP292" s="49"/>
    </row>
    <row r="293" spans="37:42" x14ac:dyDescent="0.25">
      <c r="AK293" s="46"/>
      <c r="AL293" s="49"/>
      <c r="AM293" s="49"/>
      <c r="AN293" s="49"/>
      <c r="AO293" s="49"/>
      <c r="AP293" s="49"/>
    </row>
    <row r="294" spans="37:42" x14ac:dyDescent="0.25">
      <c r="AK294" s="46"/>
      <c r="AL294" s="49"/>
      <c r="AM294" s="49"/>
      <c r="AN294" s="49"/>
      <c r="AO294" s="49"/>
      <c r="AP294" s="49"/>
    </row>
    <row r="295" spans="37:42" x14ac:dyDescent="0.25">
      <c r="AK295" s="46"/>
      <c r="AL295" s="49"/>
      <c r="AM295" s="49"/>
      <c r="AN295" s="49"/>
      <c r="AO295" s="49"/>
      <c r="AP295" s="49"/>
    </row>
    <row r="296" spans="37:42" x14ac:dyDescent="0.25">
      <c r="AK296" s="46"/>
      <c r="AL296" s="49"/>
      <c r="AM296" s="49"/>
      <c r="AN296" s="49"/>
      <c r="AO296" s="49"/>
      <c r="AP296" s="49"/>
    </row>
    <row r="297" spans="37:42" x14ac:dyDescent="0.25">
      <c r="AK297" s="46"/>
      <c r="AL297" s="49"/>
      <c r="AM297" s="49"/>
      <c r="AN297" s="49"/>
      <c r="AO297" s="49"/>
      <c r="AP297" s="49"/>
    </row>
    <row r="298" spans="37:42" x14ac:dyDescent="0.25">
      <c r="AK298" s="46"/>
      <c r="AL298" s="49"/>
      <c r="AM298" s="49"/>
      <c r="AN298" s="49"/>
      <c r="AO298" s="49"/>
      <c r="AP298" s="49"/>
    </row>
    <row r="299" spans="37:42" x14ac:dyDescent="0.25">
      <c r="AK299" s="46"/>
      <c r="AL299" s="49"/>
      <c r="AM299" s="49"/>
      <c r="AN299" s="49"/>
      <c r="AO299" s="49"/>
      <c r="AP299" s="49"/>
    </row>
    <row r="300" spans="37:42" x14ac:dyDescent="0.25">
      <c r="AK300" s="46"/>
      <c r="AL300" s="49"/>
      <c r="AM300" s="49"/>
      <c r="AN300" s="49"/>
      <c r="AO300" s="49"/>
      <c r="AP300" s="49"/>
    </row>
    <row r="301" spans="37:42" x14ac:dyDescent="0.25">
      <c r="AK301" s="46"/>
      <c r="AL301" s="49"/>
      <c r="AM301" s="49"/>
      <c r="AN301" s="49"/>
      <c r="AO301" s="49"/>
      <c r="AP301" s="49"/>
    </row>
    <row r="302" spans="37:42" x14ac:dyDescent="0.25">
      <c r="AK302" s="46"/>
      <c r="AL302" s="49"/>
      <c r="AM302" s="49"/>
      <c r="AN302" s="49"/>
      <c r="AO302" s="49"/>
      <c r="AP302" s="49"/>
    </row>
    <row r="303" spans="37:42" x14ac:dyDescent="0.25">
      <c r="AK303" s="46"/>
      <c r="AL303" s="49"/>
      <c r="AM303" s="49"/>
      <c r="AN303" s="49"/>
      <c r="AO303" s="49"/>
      <c r="AP303" s="49"/>
    </row>
    <row r="304" spans="37:42" x14ac:dyDescent="0.25">
      <c r="AK304" s="46"/>
      <c r="AL304" s="49"/>
      <c r="AM304" s="49"/>
      <c r="AN304" s="49"/>
      <c r="AO304" s="49"/>
      <c r="AP304" s="49"/>
    </row>
    <row r="305" spans="31:42" x14ac:dyDescent="0.25">
      <c r="AK305" s="46"/>
      <c r="AL305" s="49"/>
      <c r="AM305" s="49"/>
      <c r="AN305" s="49"/>
      <c r="AO305" s="49"/>
      <c r="AP305" s="49"/>
    </row>
    <row r="313" spans="31:42" x14ac:dyDescent="0.25">
      <c r="AE313" s="34"/>
      <c r="AF313" s="34"/>
    </row>
    <row r="321" spans="31:32" x14ac:dyDescent="0.25">
      <c r="AE321" s="36"/>
      <c r="AF321" s="36"/>
    </row>
    <row r="417" spans="31:32" x14ac:dyDescent="0.25">
      <c r="AE417" s="34"/>
      <c r="AF417" s="34"/>
    </row>
    <row r="425" spans="31:32" x14ac:dyDescent="0.25">
      <c r="AE425" s="36"/>
      <c r="AF425" s="36"/>
    </row>
    <row r="521" spans="31:32" x14ac:dyDescent="0.25">
      <c r="AE521" s="34"/>
      <c r="AF521" s="34"/>
    </row>
    <row r="529" spans="31:32" x14ac:dyDescent="0.25">
      <c r="AE529" s="36"/>
      <c r="AF529" s="36"/>
    </row>
    <row r="625" spans="31:32" x14ac:dyDescent="0.25">
      <c r="AE625" s="34"/>
      <c r="AF625" s="34"/>
    </row>
    <row r="633" spans="31:32" x14ac:dyDescent="0.25">
      <c r="AE633" s="36"/>
      <c r="AF633" s="36"/>
    </row>
    <row r="729" spans="31:32" x14ac:dyDescent="0.25">
      <c r="AE729" s="34"/>
      <c r="AF729" s="34"/>
    </row>
    <row r="737" spans="31:32" x14ac:dyDescent="0.25">
      <c r="AE737" s="36"/>
      <c r="AF737" s="36"/>
    </row>
    <row r="833" spans="31:32" x14ac:dyDescent="0.25">
      <c r="AE833" s="34"/>
      <c r="AF833" s="34"/>
    </row>
    <row r="841" spans="31:32" x14ac:dyDescent="0.25">
      <c r="AE841" s="36"/>
      <c r="AF841" s="36"/>
    </row>
    <row r="937" spans="31:32" x14ac:dyDescent="0.25">
      <c r="AE937" s="34"/>
      <c r="AF937" s="34"/>
    </row>
    <row r="945" spans="31:32" x14ac:dyDescent="0.25">
      <c r="AE945" s="36"/>
      <c r="AF945" s="36"/>
    </row>
    <row r="1041" spans="31:32" x14ac:dyDescent="0.25">
      <c r="AE1041" s="34"/>
      <c r="AF1041" s="34"/>
    </row>
    <row r="1049" spans="31:32" x14ac:dyDescent="0.25">
      <c r="AE1049" s="36"/>
      <c r="AF1049" s="36"/>
    </row>
    <row r="1145" spans="31:32" x14ac:dyDescent="0.25">
      <c r="AE1145" s="34"/>
      <c r="AF1145" s="34"/>
    </row>
    <row r="1153" spans="31:32" x14ac:dyDescent="0.25">
      <c r="AE1153" s="36"/>
      <c r="AF1153" s="36"/>
    </row>
    <row r="1249" spans="31:32" x14ac:dyDescent="0.25">
      <c r="AE1249" s="34"/>
      <c r="AF1249" s="34"/>
    </row>
    <row r="1257" spans="31:32" x14ac:dyDescent="0.25">
      <c r="AE1257" s="36"/>
      <c r="AF1257" s="36"/>
    </row>
    <row r="1353" spans="31:32" x14ac:dyDescent="0.25">
      <c r="AE1353" s="34"/>
      <c r="AF1353" s="34"/>
    </row>
    <row r="1361" spans="31:32" x14ac:dyDescent="0.25">
      <c r="AE1361" s="36"/>
      <c r="AF1361" s="36"/>
    </row>
    <row r="1457" spans="31:32" x14ac:dyDescent="0.25">
      <c r="AE1457" s="34"/>
      <c r="AF1457" s="34"/>
    </row>
    <row r="1465" spans="31:32" x14ac:dyDescent="0.25">
      <c r="AE1465" s="36"/>
      <c r="AF1465" s="36"/>
    </row>
    <row r="1561" spans="31:32" x14ac:dyDescent="0.25">
      <c r="AE1561" s="34"/>
      <c r="AF1561" s="34"/>
    </row>
    <row r="1569" spans="31:32" x14ac:dyDescent="0.25">
      <c r="AE1569" s="36"/>
      <c r="AF1569" s="36"/>
    </row>
    <row r="1665" spans="31:32" x14ac:dyDescent="0.25">
      <c r="AE1665" s="34"/>
      <c r="AF1665" s="34"/>
    </row>
    <row r="1673" spans="31:32" x14ac:dyDescent="0.25">
      <c r="AE1673" s="36"/>
      <c r="AF1673" s="36"/>
    </row>
    <row r="1769" spans="31:32" x14ac:dyDescent="0.25">
      <c r="AE1769" s="34"/>
      <c r="AF1769" s="34"/>
    </row>
    <row r="1777" spans="31:32" x14ac:dyDescent="0.25">
      <c r="AE1777" s="36"/>
      <c r="AF1777" s="36"/>
    </row>
    <row r="1873" spans="31:32" x14ac:dyDescent="0.25">
      <c r="AE1873" s="34"/>
      <c r="AF1873" s="34"/>
    </row>
    <row r="1881" spans="31:32" x14ac:dyDescent="0.25">
      <c r="AE1881" s="36"/>
      <c r="AF1881" s="36"/>
    </row>
    <row r="1977" spans="31:32" x14ac:dyDescent="0.25">
      <c r="AE1977" s="34"/>
      <c r="AF1977" s="34"/>
    </row>
    <row r="1985" spans="31:32" x14ac:dyDescent="0.25">
      <c r="AE1985" s="36"/>
      <c r="AF1985" s="36"/>
    </row>
    <row r="2081" spans="31:32" x14ac:dyDescent="0.25">
      <c r="AE2081" s="34"/>
      <c r="AF2081" s="34"/>
    </row>
    <row r="2089" spans="31:32" x14ac:dyDescent="0.25">
      <c r="AE2089" s="36"/>
      <c r="AF2089" s="36"/>
    </row>
    <row r="2185" spans="31:32" x14ac:dyDescent="0.25">
      <c r="AE2185" s="34"/>
      <c r="AF2185" s="34"/>
    </row>
    <row r="2193" spans="31:32" x14ac:dyDescent="0.25">
      <c r="AE2193" s="36"/>
      <c r="AF2193" s="36"/>
    </row>
    <row r="2289" spans="31:32" x14ac:dyDescent="0.25">
      <c r="AE2289" s="34"/>
      <c r="AF2289" s="34"/>
    </row>
    <row r="2297" spans="31:32" x14ac:dyDescent="0.25">
      <c r="AE2297" s="36"/>
      <c r="AF2297" s="36"/>
    </row>
    <row r="2393" spans="31:32" x14ac:dyDescent="0.25">
      <c r="AE2393" s="34"/>
      <c r="AF2393" s="34"/>
    </row>
    <row r="2401" spans="31:32" x14ac:dyDescent="0.25">
      <c r="AE2401" s="36"/>
      <c r="AF2401" s="36"/>
    </row>
    <row r="2497" spans="31:32" x14ac:dyDescent="0.25">
      <c r="AE2497" s="34"/>
      <c r="AF2497" s="34"/>
    </row>
    <row r="2505" spans="31:32" x14ac:dyDescent="0.25">
      <c r="AE2505" s="36"/>
      <c r="AF2505" s="36"/>
    </row>
    <row r="2601" spans="31:32" x14ac:dyDescent="0.25">
      <c r="AE2601" s="34"/>
      <c r="AF2601" s="34"/>
    </row>
    <row r="2609" spans="31:32" x14ac:dyDescent="0.25">
      <c r="AE2609" s="36"/>
      <c r="AF2609" s="36"/>
    </row>
    <row r="2705" spans="31:32" x14ac:dyDescent="0.25">
      <c r="AE2705" s="34"/>
      <c r="AF2705" s="34"/>
    </row>
    <row r="2713" spans="31:32" x14ac:dyDescent="0.25">
      <c r="AE2713" s="36"/>
      <c r="AF2713" s="36"/>
    </row>
    <row r="2809" spans="31:32" x14ac:dyDescent="0.25">
      <c r="AE2809" s="34"/>
      <c r="AF2809" s="34"/>
    </row>
    <row r="2817" spans="31:32" x14ac:dyDescent="0.25">
      <c r="AE2817" s="36"/>
      <c r="AF2817" s="36"/>
    </row>
    <row r="2913" spans="31:32" x14ac:dyDescent="0.25">
      <c r="AE2913" s="34"/>
      <c r="AF2913" s="34"/>
    </row>
    <row r="2921" spans="31:32" x14ac:dyDescent="0.25">
      <c r="AE2921" s="36"/>
      <c r="AF2921" s="36"/>
    </row>
    <row r="3017" spans="31:32" x14ac:dyDescent="0.25">
      <c r="AE3017" s="34"/>
      <c r="AF3017" s="34"/>
    </row>
    <row r="3025" spans="31:32" x14ac:dyDescent="0.25">
      <c r="AE3025" s="36"/>
      <c r="AF3025" s="36"/>
    </row>
    <row r="3121" spans="31:32" x14ac:dyDescent="0.25">
      <c r="AE3121" s="34"/>
      <c r="AF3121" s="34"/>
    </row>
    <row r="3129" spans="31:32" x14ac:dyDescent="0.25">
      <c r="AE3129" s="36"/>
      <c r="AF3129" s="36"/>
    </row>
    <row r="3225" spans="31:32" x14ac:dyDescent="0.25">
      <c r="AE3225" s="34"/>
      <c r="AF3225" s="34"/>
    </row>
    <row r="3233" spans="31:32" x14ac:dyDescent="0.25">
      <c r="AE3233" s="36"/>
      <c r="AF3233" s="36"/>
    </row>
    <row r="3329" spans="31:32" x14ac:dyDescent="0.25">
      <c r="AE3329" s="34"/>
      <c r="AF3329" s="34"/>
    </row>
    <row r="3337" spans="31:32" x14ac:dyDescent="0.25">
      <c r="AE3337" s="36"/>
      <c r="AF3337" s="36"/>
    </row>
    <row r="3433" spans="31:32" x14ac:dyDescent="0.25">
      <c r="AE3433" s="34"/>
      <c r="AF3433" s="34"/>
    </row>
    <row r="3441" spans="31:32" x14ac:dyDescent="0.25">
      <c r="AE3441" s="36"/>
      <c r="AF3441" s="36"/>
    </row>
    <row r="3537" spans="31:32" x14ac:dyDescent="0.25">
      <c r="AE3537" s="34"/>
      <c r="AF3537" s="34"/>
    </row>
    <row r="3545" spans="31:32" x14ac:dyDescent="0.25">
      <c r="AE3545" s="36"/>
      <c r="AF3545" s="36"/>
    </row>
    <row r="3641" spans="31:32" x14ac:dyDescent="0.25">
      <c r="AE3641" s="34"/>
      <c r="AF3641" s="34"/>
    </row>
    <row r="3649" spans="31:32" x14ac:dyDescent="0.25">
      <c r="AE3649" s="36"/>
      <c r="AF3649" s="36"/>
    </row>
    <row r="3745" spans="31:32" x14ac:dyDescent="0.25">
      <c r="AE3745" s="34"/>
      <c r="AF3745" s="34"/>
    </row>
    <row r="3753" spans="31:32" x14ac:dyDescent="0.25">
      <c r="AE3753" s="36"/>
      <c r="AF3753" s="36"/>
    </row>
    <row r="3849" spans="31:32" x14ac:dyDescent="0.25">
      <c r="AE3849" s="34"/>
      <c r="AF3849" s="34"/>
    </row>
    <row r="3857" spans="31:32" x14ac:dyDescent="0.25">
      <c r="AE3857" s="36"/>
      <c r="AF3857" s="36"/>
    </row>
    <row r="3953" spans="31:32" x14ac:dyDescent="0.25">
      <c r="AE3953" s="34"/>
      <c r="AF3953" s="34"/>
    </row>
    <row r="3961" spans="31:32" x14ac:dyDescent="0.25">
      <c r="AE3961" s="36"/>
      <c r="AF3961" s="36"/>
    </row>
    <row r="4057" spans="31:32" x14ac:dyDescent="0.25">
      <c r="AE4057" s="34"/>
      <c r="AF4057" s="34"/>
    </row>
    <row r="4065" spans="31:32" x14ac:dyDescent="0.25">
      <c r="AE4065" s="36"/>
      <c r="AF4065" s="36"/>
    </row>
    <row r="4161" spans="31:32" x14ac:dyDescent="0.25">
      <c r="AE4161" s="34"/>
      <c r="AF4161" s="34"/>
    </row>
    <row r="4169" spans="31:32" x14ac:dyDescent="0.25">
      <c r="AE4169" s="36"/>
      <c r="AF4169" s="36"/>
    </row>
    <row r="4265" spans="31:32" x14ac:dyDescent="0.25">
      <c r="AE4265" s="34"/>
      <c r="AF4265" s="34"/>
    </row>
    <row r="4273" spans="31:32" x14ac:dyDescent="0.25">
      <c r="AE4273" s="36"/>
      <c r="AF4273" s="36"/>
    </row>
    <row r="4369" spans="31:32" x14ac:dyDescent="0.25">
      <c r="AE4369" s="34"/>
      <c r="AF4369" s="34"/>
    </row>
    <row r="4377" spans="31:32" x14ac:dyDescent="0.25">
      <c r="AE4377" s="36"/>
      <c r="AF4377" s="36"/>
    </row>
    <row r="4473" spans="31:32" x14ac:dyDescent="0.25">
      <c r="AE4473" s="34"/>
      <c r="AF4473" s="34"/>
    </row>
    <row r="4481" spans="31:32" x14ac:dyDescent="0.25">
      <c r="AE4481" s="36"/>
      <c r="AF4481" s="36"/>
    </row>
    <row r="4577" spans="31:32" x14ac:dyDescent="0.25">
      <c r="AE4577" s="34"/>
      <c r="AF4577" s="34"/>
    </row>
    <row r="4585" spans="31:32" x14ac:dyDescent="0.25">
      <c r="AE4585" s="36"/>
      <c r="AF4585" s="36"/>
    </row>
    <row r="4681" spans="31:32" x14ac:dyDescent="0.25">
      <c r="AE4681" s="34"/>
      <c r="AF4681" s="34"/>
    </row>
    <row r="4689" spans="31:32" x14ac:dyDescent="0.25">
      <c r="AE4689" s="36"/>
      <c r="AF4689" s="36"/>
    </row>
    <row r="4785" spans="31:32" x14ac:dyDescent="0.25">
      <c r="AE4785" s="34"/>
      <c r="AF4785" s="34"/>
    </row>
    <row r="4793" spans="31:32" x14ac:dyDescent="0.25">
      <c r="AE4793" s="36"/>
      <c r="AF4793" s="36"/>
    </row>
    <row r="4889" spans="31:32" x14ac:dyDescent="0.25">
      <c r="AE4889" s="34"/>
      <c r="AF4889" s="34"/>
    </row>
    <row r="4897" spans="31:32" x14ac:dyDescent="0.25">
      <c r="AE4897" s="36"/>
      <c r="AF4897" s="36"/>
    </row>
    <row r="4993" spans="31:32" x14ac:dyDescent="0.25">
      <c r="AE4993" s="34"/>
      <c r="AF4993" s="34"/>
    </row>
    <row r="5001" spans="31:32" x14ac:dyDescent="0.25">
      <c r="AE5001" s="36"/>
      <c r="AF5001" s="36"/>
    </row>
    <row r="5097" spans="31:32" x14ac:dyDescent="0.25">
      <c r="AE5097" s="34"/>
      <c r="AF5097" s="34"/>
    </row>
    <row r="5105" spans="31:32" x14ac:dyDescent="0.25">
      <c r="AE5105" s="36"/>
      <c r="AF5105" s="36"/>
    </row>
    <row r="5201" spans="31:32" x14ac:dyDescent="0.25">
      <c r="AE5201" s="34"/>
      <c r="AF5201" s="34"/>
    </row>
    <row r="5209" spans="31:32" x14ac:dyDescent="0.25">
      <c r="AE5209" s="36"/>
      <c r="AF5209" s="36"/>
    </row>
    <row r="5305" spans="31:32" x14ac:dyDescent="0.25">
      <c r="AE5305" s="34"/>
      <c r="AF5305" s="34"/>
    </row>
    <row r="5313" spans="31:32" x14ac:dyDescent="0.25">
      <c r="AE5313" s="36"/>
      <c r="AF5313" s="36"/>
    </row>
    <row r="5409" spans="31:32" x14ac:dyDescent="0.25">
      <c r="AE5409" s="34"/>
      <c r="AF5409" s="34"/>
    </row>
    <row r="5417" spans="31:32" x14ac:dyDescent="0.25">
      <c r="AE5417" s="36"/>
      <c r="AF5417" s="36"/>
    </row>
    <row r="5513" spans="31:32" x14ac:dyDescent="0.25">
      <c r="AE5513" s="34"/>
      <c r="AF5513" s="34"/>
    </row>
    <row r="5521" spans="31:32" x14ac:dyDescent="0.25">
      <c r="AE5521" s="36"/>
      <c r="AF5521" s="36"/>
    </row>
    <row r="5617" spans="31:32" x14ac:dyDescent="0.25">
      <c r="AE5617" s="34"/>
      <c r="AF5617" s="34"/>
    </row>
    <row r="5625" spans="31:32" x14ac:dyDescent="0.25">
      <c r="AE5625" s="36"/>
      <c r="AF5625" s="36"/>
    </row>
    <row r="5721" spans="31:32" x14ac:dyDescent="0.25">
      <c r="AE5721" s="34"/>
      <c r="AF5721" s="34"/>
    </row>
    <row r="5729" spans="31:32" x14ac:dyDescent="0.25">
      <c r="AE5729" s="36"/>
      <c r="AF5729" s="36"/>
    </row>
    <row r="5825" spans="31:32" x14ac:dyDescent="0.25">
      <c r="AE5825" s="34"/>
      <c r="AF5825" s="34"/>
    </row>
    <row r="5833" spans="31:32" x14ac:dyDescent="0.25">
      <c r="AE5833" s="36"/>
      <c r="AF5833" s="36"/>
    </row>
    <row r="5929" spans="31:32" x14ac:dyDescent="0.25">
      <c r="AE5929" s="34"/>
      <c r="AF5929" s="34"/>
    </row>
    <row r="5937" spans="31:32" x14ac:dyDescent="0.25">
      <c r="AE5937" s="36"/>
      <c r="AF5937" s="36"/>
    </row>
    <row r="6033" spans="31:32" x14ac:dyDescent="0.25">
      <c r="AE6033" s="34"/>
      <c r="AF6033" s="34"/>
    </row>
    <row r="6041" spans="31:32" x14ac:dyDescent="0.25">
      <c r="AE6041" s="36"/>
      <c r="AF6041" s="36"/>
    </row>
    <row r="6137" spans="31:32" x14ac:dyDescent="0.25">
      <c r="AE6137" s="34"/>
      <c r="AF6137" s="34"/>
    </row>
    <row r="6145" spans="31:32" x14ac:dyDescent="0.25">
      <c r="AE6145" s="36"/>
      <c r="AF6145" s="36"/>
    </row>
    <row r="6241" spans="31:32" x14ac:dyDescent="0.25">
      <c r="AE6241" s="34"/>
      <c r="AF6241" s="34"/>
    </row>
    <row r="6249" spans="31:32" x14ac:dyDescent="0.25">
      <c r="AE6249" s="36"/>
      <c r="AF6249" s="36"/>
    </row>
    <row r="6345" spans="31:32" x14ac:dyDescent="0.25">
      <c r="AE6345" s="34"/>
      <c r="AF6345" s="34"/>
    </row>
    <row r="6353" spans="31:32" x14ac:dyDescent="0.25">
      <c r="AE6353" s="36"/>
      <c r="AF6353" s="36"/>
    </row>
    <row r="6449" spans="31:32" x14ac:dyDescent="0.25">
      <c r="AE6449" s="34"/>
      <c r="AF6449" s="34"/>
    </row>
    <row r="6457" spans="31:32" x14ac:dyDescent="0.25">
      <c r="AE6457" s="36"/>
      <c r="AF6457" s="36"/>
    </row>
    <row r="6553" spans="31:32" x14ac:dyDescent="0.25">
      <c r="AE6553" s="34"/>
      <c r="AF6553" s="34"/>
    </row>
    <row r="6561" spans="31:32" x14ac:dyDescent="0.25">
      <c r="AE6561" s="36"/>
      <c r="AF6561" s="36"/>
    </row>
    <row r="6657" spans="31:32" x14ac:dyDescent="0.25">
      <c r="AE6657" s="34"/>
      <c r="AF6657" s="34"/>
    </row>
    <row r="6665" spans="31:32" x14ac:dyDescent="0.25">
      <c r="AE6665" s="36"/>
      <c r="AF6665" s="36"/>
    </row>
    <row r="6761" spans="31:32" x14ac:dyDescent="0.25">
      <c r="AE6761" s="34"/>
      <c r="AF6761" s="34"/>
    </row>
    <row r="6769" spans="31:32" x14ac:dyDescent="0.25">
      <c r="AE6769" s="36"/>
      <c r="AF6769" s="36"/>
    </row>
    <row r="6865" spans="31:32" x14ac:dyDescent="0.25">
      <c r="AE6865" s="34"/>
      <c r="AF6865" s="34"/>
    </row>
    <row r="6873" spans="31:32" x14ac:dyDescent="0.25">
      <c r="AE6873" s="36"/>
      <c r="AF6873" s="36"/>
    </row>
    <row r="6969" spans="31:32" x14ac:dyDescent="0.25">
      <c r="AE6969" s="34"/>
      <c r="AF6969" s="34"/>
    </row>
    <row r="6977" spans="31:32" x14ac:dyDescent="0.25">
      <c r="AE6977" s="36"/>
      <c r="AF6977" s="36"/>
    </row>
    <row r="7073" spans="31:32" x14ac:dyDescent="0.25">
      <c r="AE7073" s="34"/>
      <c r="AF7073" s="34"/>
    </row>
    <row r="7081" spans="31:32" x14ac:dyDescent="0.25">
      <c r="AE7081" s="36"/>
      <c r="AF7081" s="36"/>
    </row>
    <row r="7177" spans="31:32" x14ac:dyDescent="0.25">
      <c r="AE7177" s="34"/>
      <c r="AF7177" s="34"/>
    </row>
    <row r="7185" spans="31:32" x14ac:dyDescent="0.25">
      <c r="AE7185" s="36"/>
      <c r="AF7185" s="36"/>
    </row>
    <row r="7281" spans="31:32" x14ac:dyDescent="0.25">
      <c r="AE7281" s="34"/>
      <c r="AF7281" s="34"/>
    </row>
    <row r="7289" spans="31:32" x14ac:dyDescent="0.25">
      <c r="AE7289" s="36"/>
      <c r="AF7289" s="36"/>
    </row>
    <row r="7385" spans="31:32" x14ac:dyDescent="0.25">
      <c r="AE7385" s="34"/>
      <c r="AF7385" s="34"/>
    </row>
    <row r="7393" spans="31:32" x14ac:dyDescent="0.25">
      <c r="AE7393" s="36"/>
      <c r="AF7393" s="36"/>
    </row>
    <row r="7489" spans="31:32" x14ac:dyDescent="0.25">
      <c r="AE7489" s="34"/>
      <c r="AF7489" s="34"/>
    </row>
    <row r="7497" spans="31:32" x14ac:dyDescent="0.25">
      <c r="AE7497" s="36"/>
      <c r="AF7497" s="36"/>
    </row>
    <row r="7593" spans="31:32" x14ac:dyDescent="0.25">
      <c r="AE7593" s="34"/>
      <c r="AF7593" s="34"/>
    </row>
    <row r="7601" spans="31:32" x14ac:dyDescent="0.25">
      <c r="AE7601" s="36"/>
      <c r="AF7601" s="36"/>
    </row>
    <row r="7697" spans="31:32" x14ac:dyDescent="0.25">
      <c r="AE7697" s="34"/>
      <c r="AF7697" s="34"/>
    </row>
    <row r="7705" spans="31:32" x14ac:dyDescent="0.25">
      <c r="AE7705" s="36"/>
      <c r="AF7705" s="36"/>
    </row>
    <row r="7801" spans="31:32" x14ac:dyDescent="0.25">
      <c r="AE7801" s="34"/>
      <c r="AF7801" s="34"/>
    </row>
    <row r="7809" spans="31:32" x14ac:dyDescent="0.25">
      <c r="AE7809" s="36"/>
      <c r="AF7809" s="36"/>
    </row>
    <row r="7905" spans="31:32" x14ac:dyDescent="0.25">
      <c r="AE7905" s="34"/>
      <c r="AF7905" s="34"/>
    </row>
    <row r="7913" spans="31:32" x14ac:dyDescent="0.25">
      <c r="AE7913" s="36"/>
      <c r="AF7913" s="36"/>
    </row>
    <row r="8009" spans="31:32" x14ac:dyDescent="0.25">
      <c r="AE8009" s="34"/>
      <c r="AF8009" s="34"/>
    </row>
    <row r="8017" spans="31:32" x14ac:dyDescent="0.25">
      <c r="AE8017" s="36"/>
      <c r="AF8017" s="36"/>
    </row>
    <row r="8113" spans="31:32" x14ac:dyDescent="0.25">
      <c r="AE8113" s="34"/>
      <c r="AF8113" s="34"/>
    </row>
    <row r="8121" spans="31:32" x14ac:dyDescent="0.25">
      <c r="AE8121" s="36"/>
      <c r="AF8121" s="36"/>
    </row>
    <row r="8217" spans="31:32" x14ac:dyDescent="0.25">
      <c r="AE8217" s="34"/>
      <c r="AF8217" s="34"/>
    </row>
    <row r="8225" spans="31:32" x14ac:dyDescent="0.25">
      <c r="AE8225" s="36"/>
      <c r="AF8225" s="36"/>
    </row>
    <row r="8321" spans="31:32" x14ac:dyDescent="0.25">
      <c r="AE8321" s="34"/>
      <c r="AF8321" s="34"/>
    </row>
    <row r="8329" spans="31:32" x14ac:dyDescent="0.25">
      <c r="AE8329" s="36"/>
      <c r="AF8329" s="36"/>
    </row>
    <row r="8425" spans="31:32" x14ac:dyDescent="0.25">
      <c r="AE8425" s="34"/>
      <c r="AF8425" s="34"/>
    </row>
    <row r="8433" spans="31:32" x14ac:dyDescent="0.25">
      <c r="AE8433" s="36"/>
      <c r="AF8433" s="36"/>
    </row>
    <row r="8529" spans="31:32" x14ac:dyDescent="0.25">
      <c r="AE8529" s="34"/>
      <c r="AF8529" s="34"/>
    </row>
    <row r="8537" spans="31:32" x14ac:dyDescent="0.25">
      <c r="AE8537" s="36"/>
      <c r="AF8537" s="36"/>
    </row>
    <row r="8633" spans="31:32" x14ac:dyDescent="0.25">
      <c r="AE8633" s="34"/>
      <c r="AF8633" s="34"/>
    </row>
    <row r="8641" spans="31:32" x14ac:dyDescent="0.25">
      <c r="AE8641" s="36"/>
      <c r="AF8641" s="36"/>
    </row>
    <row r="8737" spans="31:32" x14ac:dyDescent="0.25">
      <c r="AE8737" s="34"/>
      <c r="AF8737" s="34"/>
    </row>
    <row r="8745" spans="31:32" x14ac:dyDescent="0.25">
      <c r="AE8745" s="36"/>
      <c r="AF8745" s="36"/>
    </row>
    <row r="8841" spans="31:32" x14ac:dyDescent="0.25">
      <c r="AE8841" s="34"/>
      <c r="AF8841" s="34"/>
    </row>
    <row r="8849" spans="31:32" x14ac:dyDescent="0.25">
      <c r="AE8849" s="36"/>
      <c r="AF8849" s="36"/>
    </row>
    <row r="8945" spans="31:32" x14ac:dyDescent="0.25">
      <c r="AE8945" s="34"/>
      <c r="AF8945" s="34"/>
    </row>
    <row r="8953" spans="31:32" x14ac:dyDescent="0.25">
      <c r="AE8953" s="36"/>
      <c r="AF8953" s="36"/>
    </row>
    <row r="9049" spans="31:32" x14ac:dyDescent="0.25">
      <c r="AE9049" s="34"/>
      <c r="AF9049" s="34"/>
    </row>
    <row r="9057" spans="31:32" x14ac:dyDescent="0.25">
      <c r="AE9057" s="36"/>
      <c r="AF9057" s="36"/>
    </row>
    <row r="9153" spans="31:32" x14ac:dyDescent="0.25">
      <c r="AE9153" s="34"/>
      <c r="AF9153" s="34"/>
    </row>
    <row r="9161" spans="31:32" x14ac:dyDescent="0.25">
      <c r="AE9161" s="36"/>
      <c r="AF9161" s="36"/>
    </row>
    <row r="9257" spans="31:32" x14ac:dyDescent="0.25">
      <c r="AE9257" s="34"/>
      <c r="AF9257" s="34"/>
    </row>
    <row r="9265" spans="31:32" x14ac:dyDescent="0.25">
      <c r="AE9265" s="36"/>
      <c r="AF9265" s="36"/>
    </row>
    <row r="9361" spans="31:32" x14ac:dyDescent="0.25">
      <c r="AE9361" s="34"/>
      <c r="AF9361" s="34"/>
    </row>
    <row r="9369" spans="31:32" x14ac:dyDescent="0.25">
      <c r="AE9369" s="36"/>
      <c r="AF9369" s="36"/>
    </row>
    <row r="9465" spans="31:32" x14ac:dyDescent="0.25">
      <c r="AE9465" s="34"/>
      <c r="AF9465" s="34"/>
    </row>
    <row r="9473" spans="31:32" x14ac:dyDescent="0.25">
      <c r="AE9473" s="36"/>
      <c r="AF9473" s="36"/>
    </row>
    <row r="9569" spans="31:32" x14ac:dyDescent="0.25">
      <c r="AE9569" s="34"/>
      <c r="AF9569" s="34"/>
    </row>
    <row r="9577" spans="31:32" x14ac:dyDescent="0.25">
      <c r="AE9577" s="36"/>
      <c r="AF9577" s="36"/>
    </row>
    <row r="9673" spans="31:32" x14ac:dyDescent="0.25">
      <c r="AE9673" s="34"/>
      <c r="AF9673" s="34"/>
    </row>
    <row r="9681" spans="31:32" x14ac:dyDescent="0.25">
      <c r="AE9681" s="36"/>
      <c r="AF9681" s="36"/>
    </row>
    <row r="9777" spans="31:32" x14ac:dyDescent="0.25">
      <c r="AE9777" s="34"/>
      <c r="AF9777" s="34"/>
    </row>
    <row r="9785" spans="31:32" x14ac:dyDescent="0.25">
      <c r="AE9785" s="36"/>
      <c r="AF9785" s="36"/>
    </row>
    <row r="9881" spans="31:32" x14ac:dyDescent="0.25">
      <c r="AE9881" s="34"/>
      <c r="AF9881" s="34"/>
    </row>
    <row r="9889" spans="31:32" x14ac:dyDescent="0.25">
      <c r="AE9889" s="36"/>
      <c r="AF9889" s="36"/>
    </row>
    <row r="9985" spans="31:32" x14ac:dyDescent="0.25">
      <c r="AE9985" s="34"/>
      <c r="AF9985" s="34"/>
    </row>
    <row r="9993" spans="31:32" x14ac:dyDescent="0.25">
      <c r="AE9993" s="36"/>
      <c r="AF9993" s="36"/>
    </row>
    <row r="10089" spans="31:32" x14ac:dyDescent="0.25">
      <c r="AE10089" s="34"/>
      <c r="AF10089" s="34"/>
    </row>
    <row r="10097" spans="31:32" x14ac:dyDescent="0.25">
      <c r="AE10097" s="36"/>
      <c r="AF10097" s="36"/>
    </row>
    <row r="10193" spans="31:32" x14ac:dyDescent="0.25">
      <c r="AE10193" s="34"/>
      <c r="AF10193" s="34"/>
    </row>
    <row r="10201" spans="31:32" x14ac:dyDescent="0.25">
      <c r="AE10201" s="36"/>
      <c r="AF10201" s="36"/>
    </row>
    <row r="10297" spans="31:32" x14ac:dyDescent="0.25">
      <c r="AE10297" s="34"/>
      <c r="AF10297" s="34"/>
    </row>
    <row r="10305" spans="31:32" x14ac:dyDescent="0.25">
      <c r="AE10305" s="36"/>
      <c r="AF10305" s="36"/>
    </row>
    <row r="10401" spans="31:32" x14ac:dyDescent="0.25">
      <c r="AE10401" s="34"/>
      <c r="AF10401" s="34"/>
    </row>
    <row r="10409" spans="31:32" x14ac:dyDescent="0.25">
      <c r="AE10409" s="36"/>
      <c r="AF10409" s="36"/>
    </row>
    <row r="10505" spans="31:32" x14ac:dyDescent="0.25">
      <c r="AE10505" s="34"/>
      <c r="AF10505" s="34"/>
    </row>
    <row r="10513" spans="31:32" x14ac:dyDescent="0.25">
      <c r="AE10513" s="36"/>
      <c r="AF10513" s="36"/>
    </row>
    <row r="10609" spans="31:32" x14ac:dyDescent="0.25">
      <c r="AE10609" s="34"/>
      <c r="AF10609" s="34"/>
    </row>
    <row r="10617" spans="31:32" x14ac:dyDescent="0.25">
      <c r="AE10617" s="36"/>
      <c r="AF10617" s="36"/>
    </row>
    <row r="10713" spans="31:32" x14ac:dyDescent="0.25">
      <c r="AE10713" s="34"/>
      <c r="AF10713" s="34"/>
    </row>
    <row r="10721" spans="31:32" x14ac:dyDescent="0.25">
      <c r="AE10721" s="36"/>
      <c r="AF10721" s="36"/>
    </row>
    <row r="10817" spans="31:32" x14ac:dyDescent="0.25">
      <c r="AE10817" s="34"/>
      <c r="AF10817" s="34"/>
    </row>
    <row r="10825" spans="31:32" x14ac:dyDescent="0.25">
      <c r="AE10825" s="36"/>
      <c r="AF10825" s="36"/>
    </row>
    <row r="10921" spans="31:32" x14ac:dyDescent="0.25">
      <c r="AE10921" s="34"/>
      <c r="AF10921" s="34"/>
    </row>
    <row r="10929" spans="31:32" x14ac:dyDescent="0.25">
      <c r="AE10929" s="36"/>
      <c r="AF10929" s="36"/>
    </row>
    <row r="11025" spans="31:32" x14ac:dyDescent="0.25">
      <c r="AE11025" s="34"/>
      <c r="AF11025" s="34"/>
    </row>
    <row r="11033" spans="31:32" x14ac:dyDescent="0.25">
      <c r="AE11033" s="36"/>
      <c r="AF11033" s="36"/>
    </row>
    <row r="11129" spans="31:32" x14ac:dyDescent="0.25">
      <c r="AE11129" s="34"/>
      <c r="AF11129" s="34"/>
    </row>
    <row r="11137" spans="31:32" x14ac:dyDescent="0.25">
      <c r="AE11137" s="36"/>
      <c r="AF11137" s="36"/>
    </row>
    <row r="11233" spans="31:32" x14ac:dyDescent="0.25">
      <c r="AE11233" s="34"/>
      <c r="AF11233" s="34"/>
    </row>
    <row r="11241" spans="31:32" x14ac:dyDescent="0.25">
      <c r="AE11241" s="36"/>
      <c r="AF11241" s="36"/>
    </row>
    <row r="11337" spans="31:32" x14ac:dyDescent="0.25">
      <c r="AE11337" s="34"/>
      <c r="AF11337" s="34"/>
    </row>
    <row r="11345" spans="31:32" x14ac:dyDescent="0.25">
      <c r="AE11345" s="36"/>
      <c r="AF11345" s="36"/>
    </row>
    <row r="11441" spans="31:32" x14ac:dyDescent="0.25">
      <c r="AE11441" s="34"/>
      <c r="AF11441" s="34"/>
    </row>
    <row r="11449" spans="31:32" x14ac:dyDescent="0.25">
      <c r="AE11449" s="36"/>
      <c r="AF11449" s="36"/>
    </row>
    <row r="11545" spans="31:32" x14ac:dyDescent="0.25">
      <c r="AE11545" s="34"/>
      <c r="AF11545" s="34"/>
    </row>
    <row r="11553" spans="31:32" x14ac:dyDescent="0.25">
      <c r="AE11553" s="36"/>
      <c r="AF11553" s="36"/>
    </row>
    <row r="11649" spans="31:32" x14ac:dyDescent="0.25">
      <c r="AE11649" s="34"/>
      <c r="AF11649" s="34"/>
    </row>
    <row r="11657" spans="31:32" x14ac:dyDescent="0.25">
      <c r="AE11657" s="36"/>
      <c r="AF11657" s="36"/>
    </row>
    <row r="11753" spans="31:32" x14ac:dyDescent="0.25">
      <c r="AE11753" s="34"/>
      <c r="AF11753" s="34"/>
    </row>
    <row r="11761" spans="31:32" x14ac:dyDescent="0.25">
      <c r="AE11761" s="36"/>
      <c r="AF11761" s="36"/>
    </row>
    <row r="11857" spans="31:32" x14ac:dyDescent="0.25">
      <c r="AE11857" s="34"/>
      <c r="AF11857" s="34"/>
    </row>
    <row r="11865" spans="31:32" x14ac:dyDescent="0.25">
      <c r="AE11865" s="36"/>
      <c r="AF11865" s="36"/>
    </row>
    <row r="11961" spans="31:32" x14ac:dyDescent="0.25">
      <c r="AE11961" s="34"/>
      <c r="AF11961" s="34"/>
    </row>
    <row r="11969" spans="31:32" x14ac:dyDescent="0.25">
      <c r="AE11969" s="36"/>
      <c r="AF11969" s="36"/>
    </row>
    <row r="12065" spans="31:32" x14ac:dyDescent="0.25">
      <c r="AE12065" s="34"/>
      <c r="AF12065" s="34"/>
    </row>
    <row r="12073" spans="31:32" x14ac:dyDescent="0.25">
      <c r="AE12073" s="36"/>
      <c r="AF12073" s="36"/>
    </row>
    <row r="12169" spans="31:32" x14ac:dyDescent="0.25">
      <c r="AE12169" s="34"/>
      <c r="AF12169" s="34"/>
    </row>
    <row r="12177" spans="31:32" x14ac:dyDescent="0.25">
      <c r="AE12177" s="36"/>
      <c r="AF12177" s="36"/>
    </row>
    <row r="12273" spans="31:32" x14ac:dyDescent="0.25">
      <c r="AE12273" s="34"/>
      <c r="AF12273" s="34"/>
    </row>
    <row r="12281" spans="31:32" x14ac:dyDescent="0.25">
      <c r="AE12281" s="36"/>
      <c r="AF12281" s="36"/>
    </row>
    <row r="12377" spans="31:32" x14ac:dyDescent="0.25">
      <c r="AE12377" s="34"/>
      <c r="AF12377" s="34"/>
    </row>
    <row r="12385" spans="31:32" x14ac:dyDescent="0.25">
      <c r="AE12385" s="36"/>
      <c r="AF12385" s="36"/>
    </row>
    <row r="12481" spans="31:32" x14ac:dyDescent="0.25">
      <c r="AE12481" s="34"/>
      <c r="AF12481" s="34"/>
    </row>
    <row r="12489" spans="31:32" x14ac:dyDescent="0.25">
      <c r="AE12489" s="36"/>
      <c r="AF12489" s="36"/>
    </row>
    <row r="12585" spans="31:32" x14ac:dyDescent="0.25">
      <c r="AE12585" s="34"/>
      <c r="AF12585" s="34"/>
    </row>
    <row r="12593" spans="31:32" x14ac:dyDescent="0.25">
      <c r="AE12593" s="36"/>
      <c r="AF12593" s="36"/>
    </row>
    <row r="12689" spans="31:32" x14ac:dyDescent="0.25">
      <c r="AE12689" s="34"/>
      <c r="AF12689" s="34"/>
    </row>
    <row r="12697" spans="31:32" x14ac:dyDescent="0.25">
      <c r="AE12697" s="36"/>
      <c r="AF12697" s="36"/>
    </row>
    <row r="12793" spans="31:32" x14ac:dyDescent="0.25">
      <c r="AE12793" s="34"/>
      <c r="AF12793" s="34"/>
    </row>
    <row r="12801" spans="31:32" x14ac:dyDescent="0.25">
      <c r="AE12801" s="36"/>
      <c r="AF12801" s="36"/>
    </row>
    <row r="12897" spans="31:32" x14ac:dyDescent="0.25">
      <c r="AE12897" s="34"/>
      <c r="AF12897" s="34"/>
    </row>
    <row r="12905" spans="31:32" x14ac:dyDescent="0.25">
      <c r="AE12905" s="36"/>
      <c r="AF12905" s="36"/>
    </row>
    <row r="13001" spans="31:32" x14ac:dyDescent="0.25">
      <c r="AE13001" s="34"/>
      <c r="AF13001" s="34"/>
    </row>
    <row r="13009" spans="31:32" x14ac:dyDescent="0.25">
      <c r="AE13009" s="36"/>
      <c r="AF13009" s="36"/>
    </row>
    <row r="13105" spans="31:32" x14ac:dyDescent="0.25">
      <c r="AE13105" s="34"/>
      <c r="AF13105" s="34"/>
    </row>
    <row r="13113" spans="31:32" x14ac:dyDescent="0.25">
      <c r="AE13113" s="36"/>
      <c r="AF13113" s="36"/>
    </row>
    <row r="13209" spans="31:32" x14ac:dyDescent="0.25">
      <c r="AE13209" s="34"/>
      <c r="AF13209" s="34"/>
    </row>
    <row r="13217" spans="31:32" x14ac:dyDescent="0.25">
      <c r="AE13217" s="36"/>
      <c r="AF13217" s="36"/>
    </row>
    <row r="13313" spans="31:32" x14ac:dyDescent="0.25">
      <c r="AE13313" s="34"/>
      <c r="AF13313" s="34"/>
    </row>
    <row r="13321" spans="31:32" x14ac:dyDescent="0.25">
      <c r="AE13321" s="36"/>
      <c r="AF13321" s="36"/>
    </row>
    <row r="13417" spans="31:32" x14ac:dyDescent="0.25">
      <c r="AE13417" s="34"/>
      <c r="AF13417" s="34"/>
    </row>
    <row r="13425" spans="31:32" x14ac:dyDescent="0.25">
      <c r="AE13425" s="36"/>
      <c r="AF13425" s="36"/>
    </row>
    <row r="13521" spans="31:32" x14ac:dyDescent="0.25">
      <c r="AE13521" s="34"/>
      <c r="AF13521" s="34"/>
    </row>
    <row r="13529" spans="31:32" x14ac:dyDescent="0.25">
      <c r="AE13529" s="36"/>
      <c r="AF13529" s="36"/>
    </row>
    <row r="13625" spans="31:32" x14ac:dyDescent="0.25">
      <c r="AE13625" s="34"/>
      <c r="AF13625" s="34"/>
    </row>
    <row r="13633" spans="31:32" x14ac:dyDescent="0.25">
      <c r="AE13633" s="36"/>
      <c r="AF13633" s="36"/>
    </row>
    <row r="13666" spans="5:30" x14ac:dyDescent="0.25">
      <c r="E13666"/>
      <c r="F13666"/>
      <c r="G13666"/>
      <c r="H13666"/>
      <c r="I13666"/>
    </row>
    <row r="13667" spans="5:30" x14ac:dyDescent="0.25">
      <c r="E13667"/>
      <c r="F13667"/>
      <c r="G13667"/>
      <c r="H13667"/>
      <c r="I13667"/>
      <c r="J13667"/>
      <c r="K13667"/>
      <c r="L13667"/>
      <c r="M13667"/>
      <c r="N13667"/>
      <c r="O13667"/>
      <c r="P13667"/>
      <c r="Q13667"/>
      <c r="R13667"/>
      <c r="S13667"/>
      <c r="T13667"/>
      <c r="U13667"/>
      <c r="V13667"/>
      <c r="W13667"/>
      <c r="X13667"/>
      <c r="Y13667"/>
      <c r="Z13667"/>
      <c r="AA13667"/>
      <c r="AB13667"/>
      <c r="AC13667"/>
      <c r="AD13667"/>
    </row>
    <row r="13668" spans="5:30" x14ac:dyDescent="0.25">
      <c r="E13668"/>
      <c r="F13668"/>
      <c r="G13668"/>
      <c r="H13668"/>
      <c r="I13668"/>
      <c r="J13668"/>
      <c r="K13668"/>
      <c r="L13668"/>
      <c r="M13668"/>
      <c r="N13668"/>
      <c r="O13668"/>
      <c r="P13668"/>
      <c r="Q13668"/>
      <c r="R13668"/>
      <c r="S13668"/>
      <c r="T13668"/>
      <c r="U13668"/>
      <c r="V13668"/>
      <c r="W13668"/>
      <c r="X13668"/>
      <c r="Y13668"/>
      <c r="Z13668"/>
      <c r="AA13668"/>
      <c r="AB13668"/>
      <c r="AC13668"/>
      <c r="AD13668"/>
    </row>
    <row r="13669" spans="5:30" x14ac:dyDescent="0.25">
      <c r="E13669"/>
      <c r="F13669"/>
      <c r="G13669"/>
      <c r="H13669"/>
      <c r="I13669"/>
      <c r="J13669"/>
      <c r="K13669"/>
      <c r="L13669"/>
      <c r="M13669"/>
      <c r="N13669"/>
      <c r="O13669"/>
      <c r="P13669"/>
      <c r="Q13669"/>
      <c r="R13669"/>
      <c r="S13669"/>
      <c r="T13669"/>
      <c r="U13669"/>
      <c r="V13669"/>
      <c r="W13669"/>
      <c r="X13669"/>
      <c r="Y13669"/>
      <c r="Z13669"/>
      <c r="AA13669"/>
      <c r="AB13669"/>
      <c r="AC13669"/>
      <c r="AD13669"/>
    </row>
    <row r="13670" spans="5:30" x14ac:dyDescent="0.25">
      <c r="E13670"/>
      <c r="F13670"/>
      <c r="G13670"/>
      <c r="H13670"/>
      <c r="I13670"/>
      <c r="J13670"/>
      <c r="K13670"/>
      <c r="L13670"/>
      <c r="M13670"/>
      <c r="N13670"/>
      <c r="O13670"/>
      <c r="P13670"/>
      <c r="Q13670"/>
      <c r="R13670"/>
      <c r="S13670"/>
      <c r="T13670"/>
      <c r="U13670"/>
      <c r="V13670"/>
      <c r="W13670"/>
      <c r="X13670"/>
      <c r="Y13670"/>
      <c r="Z13670"/>
      <c r="AA13670"/>
      <c r="AB13670"/>
      <c r="AC13670"/>
      <c r="AD13670"/>
    </row>
    <row r="13671" spans="5:30" x14ac:dyDescent="0.25">
      <c r="E13671"/>
      <c r="F13671"/>
      <c r="G13671"/>
      <c r="H13671"/>
      <c r="I13671"/>
      <c r="J13671"/>
      <c r="K13671"/>
      <c r="L13671"/>
      <c r="M13671"/>
      <c r="N13671"/>
      <c r="O13671"/>
      <c r="P13671"/>
      <c r="Q13671"/>
      <c r="R13671"/>
      <c r="S13671"/>
      <c r="T13671"/>
      <c r="U13671"/>
      <c r="V13671"/>
      <c r="W13671"/>
      <c r="X13671"/>
      <c r="Y13671"/>
      <c r="Z13671"/>
      <c r="AA13671"/>
      <c r="AB13671"/>
      <c r="AC13671"/>
      <c r="AD13671"/>
    </row>
    <row r="13672" spans="5:30" x14ac:dyDescent="0.25">
      <c r="E13672"/>
      <c r="F13672"/>
      <c r="G13672"/>
      <c r="H13672"/>
      <c r="I13672"/>
      <c r="J13672"/>
      <c r="K13672"/>
      <c r="L13672"/>
      <c r="M13672"/>
      <c r="N13672"/>
      <c r="O13672"/>
      <c r="P13672"/>
      <c r="Q13672"/>
      <c r="R13672"/>
      <c r="S13672"/>
      <c r="T13672"/>
      <c r="U13672"/>
      <c r="V13672"/>
      <c r="W13672"/>
      <c r="X13672"/>
      <c r="Y13672"/>
      <c r="Z13672"/>
      <c r="AA13672"/>
      <c r="AB13672"/>
      <c r="AC13672"/>
      <c r="AD13672"/>
    </row>
    <row r="13673" spans="5:30" x14ac:dyDescent="0.25">
      <c r="E13673"/>
      <c r="F13673"/>
      <c r="G13673"/>
      <c r="H13673"/>
      <c r="I13673"/>
      <c r="J13673"/>
      <c r="K13673"/>
      <c r="L13673"/>
      <c r="M13673"/>
      <c r="N13673"/>
      <c r="O13673"/>
      <c r="P13673"/>
      <c r="Q13673"/>
      <c r="R13673"/>
      <c r="S13673"/>
      <c r="T13673"/>
      <c r="U13673"/>
      <c r="V13673"/>
      <c r="W13673"/>
      <c r="X13673"/>
      <c r="Y13673"/>
      <c r="Z13673"/>
      <c r="AA13673"/>
      <c r="AB13673"/>
      <c r="AC13673"/>
      <c r="AD13673"/>
    </row>
    <row r="13674" spans="5:30" x14ac:dyDescent="0.25">
      <c r="E13674"/>
      <c r="F13674"/>
      <c r="G13674"/>
      <c r="H13674"/>
      <c r="I13674"/>
      <c r="J13674"/>
      <c r="K13674"/>
      <c r="L13674"/>
      <c r="M13674"/>
      <c r="N13674"/>
      <c r="O13674"/>
      <c r="P13674"/>
      <c r="Q13674"/>
      <c r="R13674"/>
      <c r="S13674"/>
      <c r="T13674"/>
      <c r="U13674"/>
      <c r="V13674"/>
      <c r="W13674"/>
      <c r="X13674"/>
      <c r="Y13674"/>
      <c r="Z13674"/>
      <c r="AA13674"/>
      <c r="AB13674"/>
      <c r="AC13674"/>
      <c r="AD13674"/>
    </row>
    <row r="13675" spans="5:30" x14ac:dyDescent="0.25">
      <c r="E13675"/>
      <c r="F13675"/>
      <c r="G13675"/>
      <c r="H13675"/>
      <c r="I13675"/>
      <c r="J13675"/>
      <c r="K13675"/>
      <c r="L13675"/>
      <c r="M13675"/>
      <c r="N13675"/>
      <c r="O13675"/>
      <c r="P13675"/>
      <c r="Q13675"/>
      <c r="R13675"/>
      <c r="S13675"/>
      <c r="T13675"/>
      <c r="U13675"/>
      <c r="V13675"/>
      <c r="W13675"/>
      <c r="X13675"/>
      <c r="Y13675"/>
      <c r="Z13675"/>
      <c r="AA13675"/>
      <c r="AB13675"/>
      <c r="AC13675"/>
      <c r="AD13675"/>
    </row>
    <row r="13676" spans="5:30" x14ac:dyDescent="0.25">
      <c r="J13676"/>
      <c r="K13676"/>
      <c r="L13676"/>
      <c r="M13676"/>
      <c r="N13676"/>
      <c r="O13676"/>
      <c r="P13676"/>
      <c r="Q13676"/>
      <c r="R13676"/>
      <c r="S13676"/>
      <c r="T13676"/>
      <c r="U13676"/>
      <c r="V13676"/>
      <c r="W13676"/>
      <c r="X13676"/>
      <c r="Y13676"/>
      <c r="Z13676"/>
      <c r="AA13676"/>
      <c r="AB13676"/>
      <c r="AC13676"/>
      <c r="AD13676"/>
    </row>
    <row r="13729" spans="31:32" x14ac:dyDescent="0.25">
      <c r="AE13729" s="34"/>
      <c r="AF13729" s="34"/>
    </row>
    <row r="13737" spans="31:32" x14ac:dyDescent="0.25">
      <c r="AE13737" s="36"/>
      <c r="AF13737" s="36"/>
    </row>
    <row r="13833" spans="31:32" x14ac:dyDescent="0.25">
      <c r="AE13833" s="34"/>
      <c r="AF13833" s="34"/>
    </row>
    <row r="13841" spans="31:32" x14ac:dyDescent="0.25">
      <c r="AE13841" s="36"/>
      <c r="AF13841" s="36"/>
    </row>
    <row r="13937" spans="31:32" x14ac:dyDescent="0.25">
      <c r="AE13937" s="34"/>
      <c r="AF13937" s="34"/>
    </row>
    <row r="13945" spans="31:32" x14ac:dyDescent="0.25">
      <c r="AE13945" s="36"/>
      <c r="AF13945" s="36"/>
    </row>
    <row r="14041" spans="31:32" x14ac:dyDescent="0.25">
      <c r="AE14041" s="34"/>
      <c r="AF14041" s="34"/>
    </row>
    <row r="14049" spans="31:32" x14ac:dyDescent="0.25">
      <c r="AE14049" s="36"/>
      <c r="AF14049" s="36"/>
    </row>
    <row r="14145" spans="31:32" x14ac:dyDescent="0.25">
      <c r="AE14145" s="34"/>
      <c r="AF14145" s="34"/>
    </row>
    <row r="14153" spans="31:32" x14ac:dyDescent="0.25">
      <c r="AE14153" s="36"/>
      <c r="AF14153" s="36"/>
    </row>
    <row r="14249" spans="31:32" x14ac:dyDescent="0.25">
      <c r="AE14249" s="34"/>
      <c r="AF14249" s="34"/>
    </row>
    <row r="14257" spans="31:32" x14ac:dyDescent="0.25">
      <c r="AE14257" s="36"/>
      <c r="AF14257" s="36"/>
    </row>
    <row r="14353" spans="31:32" x14ac:dyDescent="0.25">
      <c r="AE14353" s="34"/>
      <c r="AF14353" s="34"/>
    </row>
    <row r="14361" spans="31:32" x14ac:dyDescent="0.25">
      <c r="AE14361" s="36"/>
      <c r="AF14361" s="36"/>
    </row>
    <row r="14457" spans="31:32" x14ac:dyDescent="0.25">
      <c r="AE14457" s="34"/>
      <c r="AF14457" s="34"/>
    </row>
    <row r="14465" spans="31:32" x14ac:dyDescent="0.25">
      <c r="AE14465" s="36"/>
      <c r="AF14465" s="36"/>
    </row>
    <row r="14561" spans="31:32" x14ac:dyDescent="0.25">
      <c r="AE14561" s="34"/>
      <c r="AF14561" s="34"/>
    </row>
    <row r="14569" spans="31:32" x14ac:dyDescent="0.25">
      <c r="AE14569" s="36"/>
      <c r="AF14569" s="36"/>
    </row>
    <row r="14665" spans="31:32" x14ac:dyDescent="0.25">
      <c r="AE14665" s="34"/>
      <c r="AF14665" s="34"/>
    </row>
    <row r="14673" spans="31:32" x14ac:dyDescent="0.25">
      <c r="AE14673" s="36"/>
      <c r="AF14673" s="36"/>
    </row>
    <row r="14769" spans="31:32" x14ac:dyDescent="0.25">
      <c r="AE14769" s="34"/>
      <c r="AF14769" s="34"/>
    </row>
    <row r="14777" spans="31:32" x14ac:dyDescent="0.25">
      <c r="AE14777" s="36"/>
      <c r="AF14777" s="36"/>
    </row>
    <row r="14873" spans="31:32" x14ac:dyDescent="0.25">
      <c r="AE14873" s="34"/>
      <c r="AF14873" s="34"/>
    </row>
    <row r="14881" spans="31:32" x14ac:dyDescent="0.25">
      <c r="AE14881" s="36"/>
      <c r="AF14881" s="36"/>
    </row>
    <row r="14977" spans="31:32" x14ac:dyDescent="0.25">
      <c r="AE14977" s="34"/>
      <c r="AF14977" s="34"/>
    </row>
    <row r="14985" spans="31:32" x14ac:dyDescent="0.25">
      <c r="AE14985" s="36"/>
      <c r="AF14985" s="36"/>
    </row>
    <row r="15081" spans="31:32" x14ac:dyDescent="0.25">
      <c r="AE15081" s="34"/>
      <c r="AF15081" s="34"/>
    </row>
    <row r="15089" spans="31:32" x14ac:dyDescent="0.25">
      <c r="AE15089" s="36"/>
      <c r="AF15089" s="36"/>
    </row>
    <row r="15185" spans="31:32" x14ac:dyDescent="0.25">
      <c r="AE15185" s="34"/>
      <c r="AF15185" s="34"/>
    </row>
    <row r="15193" spans="31:32" x14ac:dyDescent="0.25">
      <c r="AE15193" s="36"/>
      <c r="AF15193" s="36"/>
    </row>
    <row r="15289" spans="31:32" x14ac:dyDescent="0.25">
      <c r="AE15289" s="34"/>
      <c r="AF15289" s="34"/>
    </row>
    <row r="15297" spans="31:32" x14ac:dyDescent="0.25">
      <c r="AE15297" s="36"/>
      <c r="AF15297" s="36"/>
    </row>
    <row r="15393" spans="31:32" x14ac:dyDescent="0.25">
      <c r="AE15393" s="34"/>
      <c r="AF15393" s="34"/>
    </row>
    <row r="15401" spans="31:32" x14ac:dyDescent="0.25">
      <c r="AE15401" s="36"/>
      <c r="AF15401" s="36"/>
    </row>
    <row r="15497" spans="31:32" x14ac:dyDescent="0.25">
      <c r="AE15497" s="34"/>
      <c r="AF15497" s="34"/>
    </row>
    <row r="15505" spans="31:32" x14ac:dyDescent="0.25">
      <c r="AE15505" s="36"/>
      <c r="AF15505" s="36"/>
    </row>
    <row r="15601" spans="31:32" x14ac:dyDescent="0.25">
      <c r="AE15601" s="34"/>
      <c r="AF15601" s="34"/>
    </row>
    <row r="15609" spans="31:32" x14ac:dyDescent="0.25">
      <c r="AE15609" s="36"/>
      <c r="AF15609" s="36"/>
    </row>
    <row r="15705" spans="31:32" x14ac:dyDescent="0.25">
      <c r="AE15705" s="34"/>
      <c r="AF15705" s="34"/>
    </row>
    <row r="15713" spans="31:32" x14ac:dyDescent="0.25">
      <c r="AE15713" s="36"/>
      <c r="AF15713" s="36"/>
    </row>
    <row r="15809" spans="31:32" x14ac:dyDescent="0.25">
      <c r="AE15809" s="34"/>
      <c r="AF15809" s="34"/>
    </row>
    <row r="15817" spans="31:32" x14ac:dyDescent="0.25">
      <c r="AE15817" s="36"/>
      <c r="AF15817" s="36"/>
    </row>
    <row r="15913" spans="31:32" x14ac:dyDescent="0.25">
      <c r="AE15913" s="34"/>
      <c r="AF15913" s="34"/>
    </row>
    <row r="15921" spans="31:32" x14ac:dyDescent="0.25">
      <c r="AE15921" s="36"/>
      <c r="AF15921" s="36"/>
    </row>
    <row r="16017" spans="31:32" x14ac:dyDescent="0.25">
      <c r="AE16017" s="34"/>
      <c r="AF16017" s="34"/>
    </row>
    <row r="16025" spans="31:32" x14ac:dyDescent="0.25">
      <c r="AE16025" s="36"/>
      <c r="AF16025" s="36"/>
    </row>
    <row r="16121" spans="31:32" x14ac:dyDescent="0.25">
      <c r="AE16121" s="34"/>
      <c r="AF16121" s="34"/>
    </row>
    <row r="16129" spans="31:32" x14ac:dyDescent="0.25">
      <c r="AE16129" s="36"/>
      <c r="AF16129" s="36"/>
    </row>
    <row r="16225" spans="31:32" x14ac:dyDescent="0.25">
      <c r="AE16225" s="34"/>
      <c r="AF16225" s="34"/>
    </row>
    <row r="16233" spans="31:32" x14ac:dyDescent="0.25">
      <c r="AE16233" s="36"/>
      <c r="AF16233" s="36"/>
    </row>
    <row r="16329" spans="31:32" x14ac:dyDescent="0.25">
      <c r="AE16329" s="34"/>
      <c r="AF16329" s="34"/>
    </row>
    <row r="16337" spans="31:32" x14ac:dyDescent="0.25">
      <c r="AE16337" s="36"/>
      <c r="AF16337" s="36"/>
    </row>
    <row r="16433" spans="31:32" x14ac:dyDescent="0.25">
      <c r="AE16433" s="34"/>
      <c r="AF16433" s="34"/>
    </row>
    <row r="16441" spans="31:32" x14ac:dyDescent="0.25">
      <c r="AE16441" s="36"/>
      <c r="AF16441" s="36"/>
    </row>
    <row r="16537" spans="31:32" x14ac:dyDescent="0.25">
      <c r="AE16537" s="34"/>
      <c r="AF16537" s="34"/>
    </row>
    <row r="16545" spans="31:32" x14ac:dyDescent="0.25">
      <c r="AE16545" s="36"/>
      <c r="AF16545" s="36"/>
    </row>
    <row r="16641" spans="31:32" x14ac:dyDescent="0.25">
      <c r="AE16641" s="34"/>
      <c r="AF16641" s="34"/>
    </row>
    <row r="16649" spans="31:32" x14ac:dyDescent="0.25">
      <c r="AE16649" s="36"/>
      <c r="AF16649" s="36"/>
    </row>
    <row r="16745" spans="31:32" x14ac:dyDescent="0.25">
      <c r="AE16745" s="34"/>
      <c r="AF16745" s="34"/>
    </row>
    <row r="16753" spans="31:32" x14ac:dyDescent="0.25">
      <c r="AE16753" s="36"/>
      <c r="AF16753" s="36"/>
    </row>
    <row r="16849" spans="31:32" x14ac:dyDescent="0.25">
      <c r="AE16849" s="34"/>
      <c r="AF16849" s="34"/>
    </row>
    <row r="16857" spans="31:32" x14ac:dyDescent="0.25">
      <c r="AE16857" s="36"/>
      <c r="AF16857" s="36"/>
    </row>
    <row r="16953" spans="31:32" x14ac:dyDescent="0.25">
      <c r="AE16953" s="34"/>
      <c r="AF16953" s="34"/>
    </row>
    <row r="16961" spans="31:32" x14ac:dyDescent="0.25">
      <c r="AE16961" s="36"/>
      <c r="AF16961" s="36"/>
    </row>
    <row r="17057" spans="31:32" x14ac:dyDescent="0.25">
      <c r="AE17057" s="34"/>
      <c r="AF17057" s="34"/>
    </row>
    <row r="17065" spans="31:32" x14ac:dyDescent="0.25">
      <c r="AE17065" s="36"/>
      <c r="AF17065" s="36"/>
    </row>
    <row r="17161" spans="31:32" x14ac:dyDescent="0.25">
      <c r="AE17161" s="34"/>
      <c r="AF17161" s="34"/>
    </row>
    <row r="17169" spans="31:32" x14ac:dyDescent="0.25">
      <c r="AE17169" s="36"/>
      <c r="AF17169" s="36"/>
    </row>
    <row r="17265" spans="31:32" x14ac:dyDescent="0.25">
      <c r="AE17265" s="34"/>
      <c r="AF17265" s="34"/>
    </row>
    <row r="17273" spans="31:32" x14ac:dyDescent="0.25">
      <c r="AE17273" s="36"/>
      <c r="AF17273" s="36"/>
    </row>
    <row r="17369" spans="31:32" x14ac:dyDescent="0.25">
      <c r="AE17369" s="34"/>
      <c r="AF17369" s="34"/>
    </row>
    <row r="17377" spans="31:32" x14ac:dyDescent="0.25">
      <c r="AE17377" s="36"/>
      <c r="AF17377" s="36"/>
    </row>
    <row r="17473" spans="31:32" x14ac:dyDescent="0.25">
      <c r="AE17473" s="34"/>
      <c r="AF17473" s="34"/>
    </row>
    <row r="17481" spans="31:32" x14ac:dyDescent="0.25">
      <c r="AE17481" s="36"/>
      <c r="AF17481" s="36"/>
    </row>
    <row r="17577" spans="31:32" x14ac:dyDescent="0.25">
      <c r="AE17577" s="34"/>
      <c r="AF17577" s="34"/>
    </row>
    <row r="17585" spans="31:32" x14ac:dyDescent="0.25">
      <c r="AE17585" s="36"/>
      <c r="AF17585" s="36"/>
    </row>
    <row r="17681" spans="31:32" x14ac:dyDescent="0.25">
      <c r="AE17681" s="34"/>
      <c r="AF17681" s="34"/>
    </row>
    <row r="17689" spans="31:32" x14ac:dyDescent="0.25">
      <c r="AE17689" s="36"/>
      <c r="AF17689" s="36"/>
    </row>
    <row r="17785" spans="31:32" x14ac:dyDescent="0.25">
      <c r="AE17785" s="34"/>
      <c r="AF17785" s="34"/>
    </row>
    <row r="17793" spans="31:32" x14ac:dyDescent="0.25">
      <c r="AE17793" s="36"/>
      <c r="AF17793" s="36"/>
    </row>
    <row r="17889" spans="31:32" x14ac:dyDescent="0.25">
      <c r="AE17889" s="34"/>
      <c r="AF17889" s="34"/>
    </row>
    <row r="17897" spans="31:32" x14ac:dyDescent="0.25">
      <c r="AE17897" s="36"/>
      <c r="AF17897" s="36"/>
    </row>
    <row r="17993" spans="31:32" x14ac:dyDescent="0.25">
      <c r="AE17993" s="34"/>
      <c r="AF17993" s="34"/>
    </row>
    <row r="18001" spans="31:32" x14ac:dyDescent="0.25">
      <c r="AE18001" s="36"/>
      <c r="AF18001" s="36"/>
    </row>
    <row r="18097" spans="31:32" x14ac:dyDescent="0.25">
      <c r="AE18097" s="34"/>
      <c r="AF18097" s="34"/>
    </row>
    <row r="18105" spans="31:32" x14ac:dyDescent="0.25">
      <c r="AE18105" s="36"/>
      <c r="AF18105" s="36"/>
    </row>
    <row r="18201" spans="31:32" x14ac:dyDescent="0.25">
      <c r="AE18201" s="34"/>
      <c r="AF18201" s="34"/>
    </row>
    <row r="18209" spans="31:32" x14ac:dyDescent="0.25">
      <c r="AE18209" s="36"/>
      <c r="AF18209" s="36"/>
    </row>
    <row r="18305" spans="31:32" x14ac:dyDescent="0.25">
      <c r="AE18305" s="34"/>
      <c r="AF18305" s="34"/>
    </row>
    <row r="18313" spans="31:32" x14ac:dyDescent="0.25">
      <c r="AE18313" s="36"/>
      <c r="AF18313" s="36"/>
    </row>
    <row r="18409" spans="31:32" x14ac:dyDescent="0.25">
      <c r="AE18409" s="34"/>
      <c r="AF18409" s="34"/>
    </row>
    <row r="18417" spans="31:32" x14ac:dyDescent="0.25">
      <c r="AE18417" s="36"/>
      <c r="AF18417" s="36"/>
    </row>
    <row r="18513" spans="31:32" x14ac:dyDescent="0.25">
      <c r="AE18513" s="34"/>
      <c r="AF18513" s="34"/>
    </row>
    <row r="18521" spans="31:32" x14ac:dyDescent="0.25">
      <c r="AE18521" s="36"/>
      <c r="AF18521" s="36"/>
    </row>
    <row r="18617" spans="31:32" x14ac:dyDescent="0.25">
      <c r="AE18617" s="34"/>
      <c r="AF18617" s="34"/>
    </row>
    <row r="18625" spans="31:32" x14ac:dyDescent="0.25">
      <c r="AE18625" s="36"/>
      <c r="AF18625" s="36"/>
    </row>
    <row r="18721" spans="31:32" x14ac:dyDescent="0.25">
      <c r="AE18721" s="34"/>
      <c r="AF18721" s="34"/>
    </row>
    <row r="18729" spans="31:32" x14ac:dyDescent="0.25">
      <c r="AE18729" s="36"/>
      <c r="AF18729" s="36"/>
    </row>
    <row r="18825" spans="31:32" x14ac:dyDescent="0.25">
      <c r="AE18825" s="34"/>
      <c r="AF18825" s="34"/>
    </row>
    <row r="18833" spans="31:32" x14ac:dyDescent="0.25">
      <c r="AE18833" s="36"/>
      <c r="AF18833" s="36"/>
    </row>
    <row r="18929" spans="31:32" x14ac:dyDescent="0.25">
      <c r="AE18929" s="34"/>
      <c r="AF18929" s="34"/>
    </row>
    <row r="18937" spans="31:32" x14ac:dyDescent="0.25">
      <c r="AE18937" s="36"/>
      <c r="AF18937" s="36"/>
    </row>
    <row r="19033" spans="31:32" x14ac:dyDescent="0.25">
      <c r="AE19033" s="34"/>
      <c r="AF19033" s="34"/>
    </row>
    <row r="19041" spans="31:32" x14ac:dyDescent="0.25">
      <c r="AE19041" s="36"/>
      <c r="AF19041" s="36"/>
    </row>
    <row r="19137" spans="31:32" x14ac:dyDescent="0.25">
      <c r="AE19137" s="34"/>
      <c r="AF19137" s="34"/>
    </row>
    <row r="19145" spans="31:32" x14ac:dyDescent="0.25">
      <c r="AE19145" s="36"/>
      <c r="AF19145" s="36"/>
    </row>
    <row r="19241" spans="31:32" x14ac:dyDescent="0.25">
      <c r="AE19241" s="34"/>
      <c r="AF19241" s="34"/>
    </row>
    <row r="19249" spans="31:32" x14ac:dyDescent="0.25">
      <c r="AE19249" s="36"/>
      <c r="AF19249" s="36"/>
    </row>
    <row r="19345" spans="31:32" x14ac:dyDescent="0.25">
      <c r="AE19345" s="34"/>
      <c r="AF19345" s="34"/>
    </row>
    <row r="19353" spans="31:32" x14ac:dyDescent="0.25">
      <c r="AE19353" s="36"/>
      <c r="AF19353" s="36"/>
    </row>
    <row r="19449" spans="31:32" x14ac:dyDescent="0.25">
      <c r="AE19449" s="34"/>
      <c r="AF19449" s="34"/>
    </row>
    <row r="19457" spans="31:32" x14ac:dyDescent="0.25">
      <c r="AE19457" s="36"/>
      <c r="AF19457" s="36"/>
    </row>
    <row r="19553" spans="31:32" x14ac:dyDescent="0.25">
      <c r="AE19553" s="34"/>
      <c r="AF19553" s="34"/>
    </row>
    <row r="19561" spans="31:32" x14ac:dyDescent="0.25">
      <c r="AE19561" s="36"/>
      <c r="AF19561" s="36"/>
    </row>
    <row r="19657" spans="31:32" x14ac:dyDescent="0.25">
      <c r="AE19657" s="34"/>
      <c r="AF19657" s="34"/>
    </row>
    <row r="19665" spans="31:32" x14ac:dyDescent="0.25">
      <c r="AE19665" s="36"/>
      <c r="AF19665" s="36"/>
    </row>
    <row r="19761" spans="31:32" x14ac:dyDescent="0.25">
      <c r="AE19761" s="34"/>
      <c r="AF19761" s="34"/>
    </row>
    <row r="19769" spans="31:32" x14ac:dyDescent="0.25">
      <c r="AE19769" s="36"/>
      <c r="AF19769" s="36"/>
    </row>
    <row r="19865" spans="31:32" x14ac:dyDescent="0.25">
      <c r="AE19865" s="34"/>
      <c r="AF19865" s="34"/>
    </row>
    <row r="19873" spans="31:32" x14ac:dyDescent="0.25">
      <c r="AE19873" s="36"/>
      <c r="AF19873" s="36"/>
    </row>
    <row r="19969" spans="31:32" x14ac:dyDescent="0.25">
      <c r="AE19969" s="34"/>
      <c r="AF19969" s="34"/>
    </row>
    <row r="19977" spans="31:32" x14ac:dyDescent="0.25">
      <c r="AE19977" s="36"/>
      <c r="AF19977" s="36"/>
    </row>
    <row r="20073" spans="31:32" x14ac:dyDescent="0.25">
      <c r="AE20073" s="34"/>
      <c r="AF20073" s="34"/>
    </row>
    <row r="20081" spans="31:32" x14ac:dyDescent="0.25">
      <c r="AE20081" s="36"/>
      <c r="AF20081" s="36"/>
    </row>
    <row r="20177" spans="31:32" x14ac:dyDescent="0.25">
      <c r="AE20177" s="34"/>
      <c r="AF20177" s="34"/>
    </row>
    <row r="20185" spans="31:32" x14ac:dyDescent="0.25">
      <c r="AE20185" s="36"/>
      <c r="AF20185" s="36"/>
    </row>
    <row r="20281" spans="31:32" x14ac:dyDescent="0.25">
      <c r="AE20281" s="34"/>
      <c r="AF20281" s="34"/>
    </row>
    <row r="20289" spans="31:32" x14ac:dyDescent="0.25">
      <c r="AE20289" s="36"/>
      <c r="AF20289" s="36"/>
    </row>
    <row r="20385" spans="31:32" x14ac:dyDescent="0.25">
      <c r="AE20385" s="34"/>
      <c r="AF20385" s="34"/>
    </row>
    <row r="20393" spans="31:32" x14ac:dyDescent="0.25">
      <c r="AE20393" s="36"/>
      <c r="AF20393" s="36"/>
    </row>
    <row r="20489" spans="31:32" x14ac:dyDescent="0.25">
      <c r="AE20489" s="34"/>
      <c r="AF20489" s="34"/>
    </row>
    <row r="20497" spans="31:32" x14ac:dyDescent="0.25">
      <c r="AE20497" s="36"/>
      <c r="AF20497" s="36"/>
    </row>
    <row r="20593" spans="31:32" x14ac:dyDescent="0.25">
      <c r="AE20593" s="34"/>
      <c r="AF20593" s="34"/>
    </row>
    <row r="20601" spans="31:32" x14ac:dyDescent="0.25">
      <c r="AE20601" s="36"/>
      <c r="AF20601" s="36"/>
    </row>
    <row r="20697" spans="31:32" x14ac:dyDescent="0.25">
      <c r="AE20697" s="34"/>
      <c r="AF20697" s="34"/>
    </row>
    <row r="20705" spans="31:32" x14ac:dyDescent="0.25">
      <c r="AE20705" s="36"/>
      <c r="AF20705" s="36"/>
    </row>
    <row r="20801" spans="31:32" x14ac:dyDescent="0.25">
      <c r="AE20801" s="34"/>
      <c r="AF20801" s="34"/>
    </row>
    <row r="20809" spans="31:32" x14ac:dyDescent="0.25">
      <c r="AE20809" s="36"/>
      <c r="AF20809" s="36"/>
    </row>
    <row r="20905" spans="31:32" x14ac:dyDescent="0.25">
      <c r="AE20905" s="34"/>
      <c r="AF20905" s="34"/>
    </row>
    <row r="20913" spans="31:32" x14ac:dyDescent="0.25">
      <c r="AE20913" s="36"/>
      <c r="AF20913" s="36"/>
    </row>
    <row r="21009" spans="31:32" x14ac:dyDescent="0.25">
      <c r="AE21009" s="34"/>
      <c r="AF21009" s="34"/>
    </row>
    <row r="21017" spans="31:32" x14ac:dyDescent="0.25">
      <c r="AE21017" s="36"/>
      <c r="AF21017" s="36"/>
    </row>
    <row r="21113" spans="31:32" x14ac:dyDescent="0.25">
      <c r="AE21113" s="34"/>
      <c r="AF21113" s="34"/>
    </row>
    <row r="21121" spans="31:32" x14ac:dyDescent="0.25">
      <c r="AE21121" s="36"/>
      <c r="AF21121" s="36"/>
    </row>
    <row r="21217" spans="31:32" x14ac:dyDescent="0.25">
      <c r="AE21217" s="34"/>
      <c r="AF21217" s="34"/>
    </row>
    <row r="21225" spans="31:32" x14ac:dyDescent="0.25">
      <c r="AE21225" s="36"/>
      <c r="AF21225" s="36"/>
    </row>
    <row r="21321" spans="31:32" x14ac:dyDescent="0.25">
      <c r="AE21321" s="34"/>
      <c r="AF21321" s="34"/>
    </row>
    <row r="21329" spans="31:32" x14ac:dyDescent="0.25">
      <c r="AE21329" s="36"/>
      <c r="AF21329" s="36"/>
    </row>
    <row r="21425" spans="31:32" x14ac:dyDescent="0.25">
      <c r="AE21425" s="34"/>
      <c r="AF21425" s="34"/>
    </row>
    <row r="21433" spans="31:32" x14ac:dyDescent="0.25">
      <c r="AE21433" s="36"/>
      <c r="AF21433" s="36"/>
    </row>
    <row r="21529" spans="31:32" x14ac:dyDescent="0.25">
      <c r="AE21529" s="34"/>
      <c r="AF21529" s="34"/>
    </row>
    <row r="21537" spans="31:32" x14ac:dyDescent="0.25">
      <c r="AE21537" s="36"/>
      <c r="AF21537" s="36"/>
    </row>
    <row r="21633" spans="31:32" x14ac:dyDescent="0.25">
      <c r="AE21633" s="34"/>
      <c r="AF21633" s="34"/>
    </row>
    <row r="21641" spans="31:32" x14ac:dyDescent="0.25">
      <c r="AE21641" s="36"/>
      <c r="AF21641" s="36"/>
    </row>
    <row r="21737" spans="31:32" x14ac:dyDescent="0.25">
      <c r="AE21737" s="34"/>
      <c r="AF21737" s="34"/>
    </row>
    <row r="21745" spans="31:32" x14ac:dyDescent="0.25">
      <c r="AE21745" s="36"/>
      <c r="AF21745" s="36"/>
    </row>
    <row r="21841" spans="31:32" x14ac:dyDescent="0.25">
      <c r="AE21841" s="34"/>
      <c r="AF21841" s="34"/>
    </row>
    <row r="21849" spans="31:32" x14ac:dyDescent="0.25">
      <c r="AE21849" s="36"/>
      <c r="AF21849" s="36"/>
    </row>
    <row r="21945" spans="31:32" x14ac:dyDescent="0.25">
      <c r="AE21945" s="34"/>
      <c r="AF21945" s="34"/>
    </row>
    <row r="21953" spans="31:32" x14ac:dyDescent="0.25">
      <c r="AE21953" s="36"/>
      <c r="AF21953" s="36"/>
    </row>
    <row r="22049" spans="31:32" x14ac:dyDescent="0.25">
      <c r="AE22049" s="34"/>
      <c r="AF22049" s="34"/>
    </row>
    <row r="22057" spans="31:32" x14ac:dyDescent="0.25">
      <c r="AE22057" s="36"/>
      <c r="AF22057" s="36"/>
    </row>
    <row r="22153" spans="31:32" x14ac:dyDescent="0.25">
      <c r="AE22153" s="34"/>
      <c r="AF22153" s="34"/>
    </row>
    <row r="22161" spans="31:32" x14ac:dyDescent="0.25">
      <c r="AE22161" s="36"/>
      <c r="AF22161" s="36"/>
    </row>
    <row r="22257" spans="31:32" x14ac:dyDescent="0.25">
      <c r="AE22257" s="34"/>
      <c r="AF22257" s="34"/>
    </row>
    <row r="22265" spans="31:32" x14ac:dyDescent="0.25">
      <c r="AE22265" s="36"/>
      <c r="AF22265" s="36"/>
    </row>
    <row r="22361" spans="31:32" x14ac:dyDescent="0.25">
      <c r="AE22361" s="34"/>
      <c r="AF22361" s="34"/>
    </row>
    <row r="22369" spans="31:32" x14ac:dyDescent="0.25">
      <c r="AE22369" s="36"/>
      <c r="AF22369" s="36"/>
    </row>
    <row r="22465" spans="31:32" x14ac:dyDescent="0.25">
      <c r="AE22465" s="34"/>
      <c r="AF22465" s="34"/>
    </row>
    <row r="22473" spans="31:32" x14ac:dyDescent="0.25">
      <c r="AE22473" s="36"/>
      <c r="AF22473" s="36"/>
    </row>
    <row r="22569" spans="31:32" x14ac:dyDescent="0.25">
      <c r="AE22569" s="34"/>
      <c r="AF22569" s="34"/>
    </row>
    <row r="22577" spans="31:32" x14ac:dyDescent="0.25">
      <c r="AE22577" s="36"/>
      <c r="AF22577" s="36"/>
    </row>
    <row r="22673" spans="31:32" x14ac:dyDescent="0.25">
      <c r="AE22673" s="34"/>
      <c r="AF22673" s="34"/>
    </row>
    <row r="22681" spans="31:32" x14ac:dyDescent="0.25">
      <c r="AE22681" s="36"/>
      <c r="AF22681" s="36"/>
    </row>
    <row r="22777" spans="31:32" x14ac:dyDescent="0.25">
      <c r="AE22777" s="34"/>
      <c r="AF22777" s="34"/>
    </row>
    <row r="22785" spans="31:32" x14ac:dyDescent="0.25">
      <c r="AE22785" s="36"/>
      <c r="AF22785" s="36"/>
    </row>
    <row r="22881" spans="31:32" x14ac:dyDescent="0.25">
      <c r="AE22881" s="34"/>
      <c r="AF22881" s="34"/>
    </row>
    <row r="22889" spans="31:32" x14ac:dyDescent="0.25">
      <c r="AE22889" s="36"/>
      <c r="AF22889" s="36"/>
    </row>
    <row r="22985" spans="31:32" x14ac:dyDescent="0.25">
      <c r="AE22985" s="34"/>
      <c r="AF22985" s="34"/>
    </row>
    <row r="22993" spans="31:32" x14ac:dyDescent="0.25">
      <c r="AE22993" s="36"/>
      <c r="AF22993" s="36"/>
    </row>
    <row r="23089" spans="31:32" x14ac:dyDescent="0.25">
      <c r="AE23089" s="34"/>
      <c r="AF23089" s="34"/>
    </row>
    <row r="23097" spans="31:32" x14ac:dyDescent="0.25">
      <c r="AE23097" s="36"/>
      <c r="AF23097" s="36"/>
    </row>
    <row r="23193" spans="31:32" x14ac:dyDescent="0.25">
      <c r="AE23193" s="34"/>
      <c r="AF23193" s="34"/>
    </row>
    <row r="23201" spans="31:32" x14ac:dyDescent="0.25">
      <c r="AE23201" s="36"/>
      <c r="AF23201" s="36"/>
    </row>
    <row r="23297" spans="31:32" x14ac:dyDescent="0.25">
      <c r="AE23297" s="34"/>
      <c r="AF23297" s="34"/>
    </row>
    <row r="23305" spans="31:32" x14ac:dyDescent="0.25">
      <c r="AE23305" s="36"/>
      <c r="AF23305" s="36"/>
    </row>
    <row r="23401" spans="31:32" x14ac:dyDescent="0.25">
      <c r="AE23401" s="34"/>
      <c r="AF23401" s="34"/>
    </row>
    <row r="23409" spans="31:32" x14ac:dyDescent="0.25">
      <c r="AE23409" s="36"/>
      <c r="AF23409" s="36"/>
    </row>
    <row r="23505" spans="31:32" x14ac:dyDescent="0.25">
      <c r="AE23505" s="34"/>
      <c r="AF23505" s="34"/>
    </row>
    <row r="23513" spans="31:32" x14ac:dyDescent="0.25">
      <c r="AE23513" s="36"/>
      <c r="AF23513" s="36"/>
    </row>
    <row r="23609" spans="31:32" x14ac:dyDescent="0.25">
      <c r="AE23609" s="34"/>
      <c r="AF23609" s="34"/>
    </row>
    <row r="23617" spans="31:32" x14ac:dyDescent="0.25">
      <c r="AE23617" s="36"/>
      <c r="AF23617" s="36"/>
    </row>
    <row r="23713" spans="31:32" x14ac:dyDescent="0.25">
      <c r="AE23713" s="34"/>
      <c r="AF23713" s="34"/>
    </row>
    <row r="23721" spans="31:32" x14ac:dyDescent="0.25">
      <c r="AE23721" s="36"/>
      <c r="AF23721" s="36"/>
    </row>
    <row r="23817" spans="31:32" x14ac:dyDescent="0.25">
      <c r="AE23817" s="34"/>
      <c r="AF23817" s="34"/>
    </row>
    <row r="23825" spans="31:32" x14ac:dyDescent="0.25">
      <c r="AE23825" s="36"/>
      <c r="AF23825" s="36"/>
    </row>
    <row r="23921" spans="31:32" x14ac:dyDescent="0.25">
      <c r="AE23921" s="34"/>
      <c r="AF23921" s="34"/>
    </row>
    <row r="23929" spans="31:32" x14ac:dyDescent="0.25">
      <c r="AE23929" s="36"/>
      <c r="AF23929" s="36"/>
    </row>
    <row r="24025" spans="31:32" x14ac:dyDescent="0.25">
      <c r="AE24025" s="34"/>
      <c r="AF24025" s="34"/>
    </row>
    <row r="24033" spans="31:32" x14ac:dyDescent="0.25">
      <c r="AE24033" s="36"/>
      <c r="AF24033" s="36"/>
    </row>
    <row r="24129" spans="31:32" x14ac:dyDescent="0.25">
      <c r="AE24129" s="34"/>
      <c r="AF24129" s="34"/>
    </row>
    <row r="24137" spans="31:32" x14ac:dyDescent="0.25">
      <c r="AE24137" s="36"/>
      <c r="AF24137" s="36"/>
    </row>
    <row r="24233" spans="31:32" x14ac:dyDescent="0.25">
      <c r="AE24233" s="34"/>
      <c r="AF24233" s="34"/>
    </row>
    <row r="24241" spans="31:32" x14ac:dyDescent="0.25">
      <c r="AE24241" s="36"/>
      <c r="AF24241" s="36"/>
    </row>
    <row r="24337" spans="31:32" x14ac:dyDescent="0.25">
      <c r="AE24337" s="34"/>
      <c r="AF24337" s="34"/>
    </row>
    <row r="24345" spans="31:32" x14ac:dyDescent="0.25">
      <c r="AE24345" s="36"/>
      <c r="AF24345" s="36"/>
    </row>
    <row r="24441" spans="31:32" x14ac:dyDescent="0.25">
      <c r="AE24441" s="34"/>
      <c r="AF24441" s="34"/>
    </row>
    <row r="24449" spans="31:32" x14ac:dyDescent="0.25">
      <c r="AE24449" s="36"/>
      <c r="AF24449" s="36"/>
    </row>
    <row r="24545" spans="31:32" x14ac:dyDescent="0.25">
      <c r="AE24545" s="34"/>
      <c r="AF24545" s="34"/>
    </row>
    <row r="24553" spans="31:32" x14ac:dyDescent="0.25">
      <c r="AE24553" s="36"/>
      <c r="AF24553" s="36"/>
    </row>
    <row r="24649" spans="31:32" x14ac:dyDescent="0.25">
      <c r="AE24649" s="34"/>
      <c r="AF24649" s="34"/>
    </row>
    <row r="24657" spans="31:32" x14ac:dyDescent="0.25">
      <c r="AE24657" s="36"/>
      <c r="AF24657" s="36"/>
    </row>
    <row r="24753" spans="31:32" x14ac:dyDescent="0.25">
      <c r="AE24753" s="34"/>
      <c r="AF24753" s="34"/>
    </row>
    <row r="24761" spans="31:32" x14ac:dyDescent="0.25">
      <c r="AE24761" s="36"/>
      <c r="AF24761" s="36"/>
    </row>
    <row r="24857" spans="31:32" x14ac:dyDescent="0.25">
      <c r="AE24857" s="34"/>
      <c r="AF24857" s="34"/>
    </row>
    <row r="24865" spans="31:32" x14ac:dyDescent="0.25">
      <c r="AE24865" s="36"/>
      <c r="AF24865" s="36"/>
    </row>
    <row r="24961" spans="31:32" x14ac:dyDescent="0.25">
      <c r="AE24961" s="34"/>
      <c r="AF24961" s="34"/>
    </row>
    <row r="24969" spans="31:32" x14ac:dyDescent="0.25">
      <c r="AE24969" s="36"/>
      <c r="AF24969" s="36"/>
    </row>
    <row r="25065" spans="31:32" x14ac:dyDescent="0.25">
      <c r="AE25065" s="34"/>
      <c r="AF25065" s="34"/>
    </row>
    <row r="25073" spans="31:32" x14ac:dyDescent="0.25">
      <c r="AE25073" s="36"/>
      <c r="AF25073" s="36"/>
    </row>
    <row r="25169" spans="31:32" x14ac:dyDescent="0.25">
      <c r="AE25169" s="34"/>
      <c r="AF25169" s="34"/>
    </row>
    <row r="25177" spans="31:32" x14ac:dyDescent="0.25">
      <c r="AE25177" s="36"/>
      <c r="AF25177" s="36"/>
    </row>
    <row r="25273" spans="31:32" x14ac:dyDescent="0.25">
      <c r="AE25273" s="34"/>
      <c r="AF25273" s="34"/>
    </row>
    <row r="25281" spans="31:32" x14ac:dyDescent="0.25">
      <c r="AE25281" s="36"/>
      <c r="AF25281" s="36"/>
    </row>
    <row r="25377" spans="31:32" x14ac:dyDescent="0.25">
      <c r="AE25377" s="34"/>
      <c r="AF25377" s="34"/>
    </row>
    <row r="25385" spans="31:32" x14ac:dyDescent="0.25">
      <c r="AE25385" s="36"/>
      <c r="AF25385" s="36"/>
    </row>
    <row r="25481" spans="31:32" x14ac:dyDescent="0.25">
      <c r="AE25481" s="34"/>
      <c r="AF25481" s="34"/>
    </row>
    <row r="25489" spans="31:32" x14ac:dyDescent="0.25">
      <c r="AE25489" s="36"/>
      <c r="AF25489" s="36"/>
    </row>
    <row r="25585" spans="31:32" x14ac:dyDescent="0.25">
      <c r="AE25585" s="34"/>
      <c r="AF25585" s="34"/>
    </row>
    <row r="25593" spans="31:32" x14ac:dyDescent="0.25">
      <c r="AE25593" s="36"/>
      <c r="AF25593" s="36"/>
    </row>
    <row r="25689" spans="31:32" x14ac:dyDescent="0.25">
      <c r="AE25689" s="34"/>
      <c r="AF25689" s="34"/>
    </row>
    <row r="25697" spans="31:32" x14ac:dyDescent="0.25">
      <c r="AE25697" s="36"/>
      <c r="AF25697" s="36"/>
    </row>
    <row r="25793" spans="31:32" x14ac:dyDescent="0.25">
      <c r="AE25793" s="34"/>
      <c r="AF25793" s="34"/>
    </row>
    <row r="25801" spans="31:32" x14ac:dyDescent="0.25">
      <c r="AE25801" s="36"/>
      <c r="AF25801" s="36"/>
    </row>
    <row r="25897" spans="31:32" x14ac:dyDescent="0.25">
      <c r="AE25897" s="34"/>
      <c r="AF25897" s="34"/>
    </row>
    <row r="25905" spans="31:32" x14ac:dyDescent="0.25">
      <c r="AE25905" s="36"/>
      <c r="AF25905" s="36"/>
    </row>
    <row r="26001" spans="31:32" x14ac:dyDescent="0.25">
      <c r="AE26001" s="34"/>
      <c r="AF26001" s="34"/>
    </row>
    <row r="26009" spans="31:32" x14ac:dyDescent="0.25">
      <c r="AE26009" s="36"/>
      <c r="AF26009" s="36"/>
    </row>
    <row r="26105" spans="31:32" x14ac:dyDescent="0.25">
      <c r="AE26105" s="34"/>
      <c r="AF26105" s="34"/>
    </row>
    <row r="26113" spans="31:32" x14ac:dyDescent="0.25">
      <c r="AE26113" s="36"/>
      <c r="AF26113" s="36"/>
    </row>
    <row r="26209" spans="31:32" x14ac:dyDescent="0.25">
      <c r="AE26209" s="34"/>
      <c r="AF26209" s="34"/>
    </row>
    <row r="26217" spans="31:32" x14ac:dyDescent="0.25">
      <c r="AE26217" s="36"/>
      <c r="AF26217" s="36"/>
    </row>
    <row r="26313" spans="31:32" x14ac:dyDescent="0.25">
      <c r="AE26313" s="34"/>
      <c r="AF26313" s="34"/>
    </row>
    <row r="26321" spans="31:32" x14ac:dyDescent="0.25">
      <c r="AE26321" s="36"/>
      <c r="AF26321" s="36"/>
    </row>
    <row r="26417" spans="31:32" x14ac:dyDescent="0.25">
      <c r="AE26417" s="34"/>
      <c r="AF26417" s="34"/>
    </row>
    <row r="26425" spans="31:32" x14ac:dyDescent="0.25">
      <c r="AE26425" s="36"/>
      <c r="AF26425" s="36"/>
    </row>
    <row r="26521" spans="31:32" x14ac:dyDescent="0.25">
      <c r="AE26521" s="34"/>
      <c r="AF26521" s="34"/>
    </row>
    <row r="26529" spans="31:32" x14ac:dyDescent="0.25">
      <c r="AE26529" s="36"/>
      <c r="AF26529" s="36"/>
    </row>
    <row r="26625" spans="31:32" x14ac:dyDescent="0.25">
      <c r="AE26625" s="34"/>
      <c r="AF26625" s="34"/>
    </row>
    <row r="26633" spans="31:32" x14ac:dyDescent="0.25">
      <c r="AE26633" s="36"/>
      <c r="AF26633" s="36"/>
    </row>
    <row r="26729" spans="31:32" x14ac:dyDescent="0.25">
      <c r="AE26729" s="34"/>
      <c r="AF26729" s="34"/>
    </row>
    <row r="26737" spans="31:32" x14ac:dyDescent="0.25">
      <c r="AE26737" s="36"/>
      <c r="AF26737" s="36"/>
    </row>
    <row r="26833" spans="31:32" x14ac:dyDescent="0.25">
      <c r="AE26833" s="34"/>
      <c r="AF26833" s="34"/>
    </row>
    <row r="26841" spans="31:32" x14ac:dyDescent="0.25">
      <c r="AE26841" s="36"/>
      <c r="AF26841" s="36"/>
    </row>
    <row r="26937" spans="31:32" x14ac:dyDescent="0.25">
      <c r="AE26937" s="34"/>
      <c r="AF26937" s="34"/>
    </row>
    <row r="26945" spans="31:32" x14ac:dyDescent="0.25">
      <c r="AE26945" s="36"/>
      <c r="AF26945" s="36"/>
    </row>
    <row r="27041" spans="31:32" x14ac:dyDescent="0.25">
      <c r="AE27041" s="34"/>
      <c r="AF27041" s="34"/>
    </row>
    <row r="27049" spans="31:32" x14ac:dyDescent="0.25">
      <c r="AE27049" s="36"/>
      <c r="AF27049" s="36"/>
    </row>
    <row r="27145" spans="31:32" x14ac:dyDescent="0.25">
      <c r="AE27145" s="34"/>
      <c r="AF27145" s="34"/>
    </row>
    <row r="27153" spans="31:32" x14ac:dyDescent="0.25">
      <c r="AE27153" s="36"/>
      <c r="AF27153" s="36"/>
    </row>
    <row r="27249" spans="31:32" x14ac:dyDescent="0.25">
      <c r="AE27249" s="34"/>
      <c r="AF27249" s="34"/>
    </row>
    <row r="27257" spans="31:32" x14ac:dyDescent="0.25">
      <c r="AE27257" s="36"/>
      <c r="AF27257" s="36"/>
    </row>
    <row r="27353" spans="31:32" x14ac:dyDescent="0.25">
      <c r="AE27353" s="34"/>
      <c r="AF27353" s="34"/>
    </row>
    <row r="27361" spans="31:32" x14ac:dyDescent="0.25">
      <c r="AE27361" s="36"/>
      <c r="AF27361" s="36"/>
    </row>
    <row r="27457" spans="31:32" x14ac:dyDescent="0.25">
      <c r="AE27457" s="34"/>
      <c r="AF27457" s="34"/>
    </row>
    <row r="27465" spans="31:32" x14ac:dyDescent="0.25">
      <c r="AE27465" s="36"/>
      <c r="AF27465" s="36"/>
    </row>
    <row r="27561" spans="31:32" x14ac:dyDescent="0.25">
      <c r="AE27561" s="34"/>
      <c r="AF27561" s="34"/>
    </row>
    <row r="27569" spans="31:32" x14ac:dyDescent="0.25">
      <c r="AE27569" s="36"/>
      <c r="AF27569" s="36"/>
    </row>
    <row r="27665" spans="31:32" x14ac:dyDescent="0.25">
      <c r="AE27665" s="34"/>
      <c r="AF27665" s="34"/>
    </row>
    <row r="27673" spans="31:32" x14ac:dyDescent="0.25">
      <c r="AE27673" s="36"/>
      <c r="AF27673" s="36"/>
    </row>
    <row r="27769" spans="31:32" x14ac:dyDescent="0.25">
      <c r="AE27769" s="34"/>
      <c r="AF27769" s="34"/>
    </row>
    <row r="27777" spans="31:32" x14ac:dyDescent="0.25">
      <c r="AE27777" s="36"/>
      <c r="AF27777" s="36"/>
    </row>
    <row r="27873" spans="31:32" x14ac:dyDescent="0.25">
      <c r="AE27873" s="34"/>
      <c r="AF27873" s="34"/>
    </row>
    <row r="27881" spans="31:32" x14ac:dyDescent="0.25">
      <c r="AE27881" s="36"/>
      <c r="AF27881" s="36"/>
    </row>
    <row r="27977" spans="31:32" x14ac:dyDescent="0.25">
      <c r="AE27977" s="34"/>
      <c r="AF27977" s="34"/>
    </row>
    <row r="27985" spans="31:32" x14ac:dyDescent="0.25">
      <c r="AE27985" s="36"/>
      <c r="AF27985" s="36"/>
    </row>
    <row r="28081" spans="31:32" x14ac:dyDescent="0.25">
      <c r="AE28081" s="34"/>
      <c r="AF28081" s="34"/>
    </row>
    <row r="28089" spans="31:32" x14ac:dyDescent="0.25">
      <c r="AE28089" s="36"/>
      <c r="AF28089" s="36"/>
    </row>
    <row r="28185" spans="31:32" x14ac:dyDescent="0.25">
      <c r="AE28185" s="34"/>
      <c r="AF28185" s="34"/>
    </row>
    <row r="28193" spans="31:32" x14ac:dyDescent="0.25">
      <c r="AE28193" s="36"/>
      <c r="AF28193" s="36"/>
    </row>
    <row r="28289" spans="31:32" x14ac:dyDescent="0.25">
      <c r="AE28289" s="34"/>
      <c r="AF28289" s="34"/>
    </row>
    <row r="28297" spans="31:32" x14ac:dyDescent="0.25">
      <c r="AE28297" s="36"/>
      <c r="AF28297" s="36"/>
    </row>
    <row r="28393" spans="31:32" x14ac:dyDescent="0.25">
      <c r="AE28393" s="34"/>
      <c r="AF28393" s="34"/>
    </row>
    <row r="28401" spans="31:32" x14ac:dyDescent="0.25">
      <c r="AE28401" s="36"/>
      <c r="AF28401" s="36"/>
    </row>
    <row r="28497" spans="31:32" x14ac:dyDescent="0.25">
      <c r="AE28497" s="34"/>
      <c r="AF28497" s="34"/>
    </row>
    <row r="28505" spans="31:32" x14ac:dyDescent="0.25">
      <c r="AE28505" s="36"/>
      <c r="AF28505" s="36"/>
    </row>
    <row r="28601" spans="31:32" x14ac:dyDescent="0.25">
      <c r="AE28601" s="34"/>
      <c r="AF28601" s="34"/>
    </row>
    <row r="28609" spans="31:32" x14ac:dyDescent="0.25">
      <c r="AE28609" s="36"/>
      <c r="AF28609" s="36"/>
    </row>
    <row r="28705" spans="31:32" x14ac:dyDescent="0.25">
      <c r="AE28705" s="34"/>
      <c r="AF28705" s="34"/>
    </row>
    <row r="28713" spans="31:32" x14ac:dyDescent="0.25">
      <c r="AE28713" s="36"/>
      <c r="AF28713" s="36"/>
    </row>
    <row r="28809" spans="31:32" x14ac:dyDescent="0.25">
      <c r="AE28809" s="34"/>
      <c r="AF28809" s="34"/>
    </row>
    <row r="28817" spans="31:32" x14ac:dyDescent="0.25">
      <c r="AE28817" s="36"/>
      <c r="AF28817" s="36"/>
    </row>
    <row r="28913" spans="31:32" x14ac:dyDescent="0.25">
      <c r="AE28913" s="34"/>
      <c r="AF28913" s="34"/>
    </row>
    <row r="28921" spans="31:32" x14ac:dyDescent="0.25">
      <c r="AE28921" s="36"/>
      <c r="AF28921" s="36"/>
    </row>
    <row r="29017" spans="31:32" x14ac:dyDescent="0.25">
      <c r="AE29017" s="34"/>
      <c r="AF29017" s="34"/>
    </row>
    <row r="29025" spans="31:32" x14ac:dyDescent="0.25">
      <c r="AE29025" s="36"/>
      <c r="AF29025" s="36"/>
    </row>
    <row r="29121" spans="31:32" x14ac:dyDescent="0.25">
      <c r="AE29121" s="34"/>
      <c r="AF29121" s="34"/>
    </row>
    <row r="29129" spans="31:32" x14ac:dyDescent="0.25">
      <c r="AE29129" s="36"/>
      <c r="AF29129" s="36"/>
    </row>
    <row r="29225" spans="31:32" x14ac:dyDescent="0.25">
      <c r="AE29225" s="34"/>
      <c r="AF29225" s="34"/>
    </row>
    <row r="29233" spans="31:32" x14ac:dyDescent="0.25">
      <c r="AE29233" s="36"/>
      <c r="AF29233" s="36"/>
    </row>
    <row r="29329" spans="31:32" x14ac:dyDescent="0.25">
      <c r="AE29329" s="34"/>
      <c r="AF29329" s="34"/>
    </row>
    <row r="29337" spans="31:32" x14ac:dyDescent="0.25">
      <c r="AE29337" s="36"/>
      <c r="AF29337" s="36"/>
    </row>
    <row r="29433" spans="31:32" x14ac:dyDescent="0.25">
      <c r="AE29433" s="34"/>
      <c r="AF29433" s="34"/>
    </row>
    <row r="29441" spans="31:32" x14ac:dyDescent="0.25">
      <c r="AE29441" s="36"/>
      <c r="AF29441" s="36"/>
    </row>
    <row r="29537" spans="31:32" x14ac:dyDescent="0.25">
      <c r="AE29537" s="34"/>
      <c r="AF29537" s="34"/>
    </row>
    <row r="29545" spans="31:32" x14ac:dyDescent="0.25">
      <c r="AE29545" s="36"/>
      <c r="AF29545" s="36"/>
    </row>
    <row r="29641" spans="31:32" x14ac:dyDescent="0.25">
      <c r="AE29641" s="34"/>
      <c r="AF29641" s="34"/>
    </row>
    <row r="29649" spans="31:32" x14ac:dyDescent="0.25">
      <c r="AE29649" s="36"/>
      <c r="AF29649" s="36"/>
    </row>
    <row r="29745" spans="31:32" x14ac:dyDescent="0.25">
      <c r="AE29745" s="34"/>
      <c r="AF29745" s="34"/>
    </row>
    <row r="29753" spans="31:32" x14ac:dyDescent="0.25">
      <c r="AE29753" s="36"/>
      <c r="AF29753" s="36"/>
    </row>
    <row r="29849" spans="31:32" x14ac:dyDescent="0.25">
      <c r="AE29849" s="34"/>
      <c r="AF29849" s="34"/>
    </row>
    <row r="29857" spans="31:32" x14ac:dyDescent="0.25">
      <c r="AE29857" s="36"/>
      <c r="AF29857" s="36"/>
    </row>
    <row r="29953" spans="31:32" x14ac:dyDescent="0.25">
      <c r="AE29953" s="34"/>
      <c r="AF29953" s="34"/>
    </row>
    <row r="29961" spans="31:32" x14ac:dyDescent="0.25">
      <c r="AE29961" s="36"/>
      <c r="AF29961" s="36"/>
    </row>
    <row r="30057" spans="31:32" x14ac:dyDescent="0.25">
      <c r="AE30057" s="34"/>
      <c r="AF30057" s="34"/>
    </row>
    <row r="30065" spans="31:32" x14ac:dyDescent="0.25">
      <c r="AE30065" s="36"/>
      <c r="AF30065" s="36"/>
    </row>
    <row r="30161" spans="31:32" x14ac:dyDescent="0.25">
      <c r="AE30161" s="34"/>
      <c r="AF30161" s="34"/>
    </row>
    <row r="30169" spans="31:32" x14ac:dyDescent="0.25">
      <c r="AE30169" s="36"/>
      <c r="AF30169" s="36"/>
    </row>
    <row r="30265" spans="31:32" x14ac:dyDescent="0.25">
      <c r="AE30265" s="34"/>
      <c r="AF30265" s="34"/>
    </row>
    <row r="30273" spans="31:32" x14ac:dyDescent="0.25">
      <c r="AE30273" s="36"/>
      <c r="AF30273" s="36"/>
    </row>
    <row r="30369" spans="31:32" x14ac:dyDescent="0.25">
      <c r="AE30369" s="34"/>
      <c r="AF30369" s="34"/>
    </row>
    <row r="30377" spans="31:32" x14ac:dyDescent="0.25">
      <c r="AE30377" s="36"/>
      <c r="AF30377" s="36"/>
    </row>
    <row r="30473" spans="31:32" x14ac:dyDescent="0.25">
      <c r="AE30473" s="34"/>
      <c r="AF30473" s="34"/>
    </row>
    <row r="30481" spans="31:32" x14ac:dyDescent="0.25">
      <c r="AE30481" s="36"/>
      <c r="AF30481" s="36"/>
    </row>
    <row r="30577" spans="31:32" x14ac:dyDescent="0.25">
      <c r="AE30577" s="34"/>
      <c r="AF30577" s="34"/>
    </row>
    <row r="30585" spans="31:32" x14ac:dyDescent="0.25">
      <c r="AE30585" s="36"/>
      <c r="AF30585" s="36"/>
    </row>
    <row r="30681" spans="31:32" x14ac:dyDescent="0.25">
      <c r="AE30681" s="34"/>
      <c r="AF30681" s="34"/>
    </row>
    <row r="30689" spans="31:32" x14ac:dyDescent="0.25">
      <c r="AE30689" s="36"/>
      <c r="AF30689" s="36"/>
    </row>
    <row r="30785" spans="31:32" x14ac:dyDescent="0.25">
      <c r="AE30785" s="34"/>
      <c r="AF30785" s="34"/>
    </row>
    <row r="30793" spans="31:32" x14ac:dyDescent="0.25">
      <c r="AE30793" s="36"/>
      <c r="AF30793" s="36"/>
    </row>
    <row r="30889" spans="31:32" x14ac:dyDescent="0.25">
      <c r="AE30889" s="34"/>
      <c r="AF30889" s="34"/>
    </row>
    <row r="30897" spans="31:32" x14ac:dyDescent="0.25">
      <c r="AE30897" s="36"/>
      <c r="AF30897" s="36"/>
    </row>
    <row r="30993" spans="31:32" x14ac:dyDescent="0.25">
      <c r="AE30993" s="34"/>
      <c r="AF30993" s="34"/>
    </row>
    <row r="31001" spans="31:32" x14ac:dyDescent="0.25">
      <c r="AE31001" s="36"/>
      <c r="AF31001" s="36"/>
    </row>
    <row r="31097" spans="31:32" x14ac:dyDescent="0.25">
      <c r="AE31097" s="34"/>
      <c r="AF31097" s="34"/>
    </row>
    <row r="31105" spans="31:32" x14ac:dyDescent="0.25">
      <c r="AE31105" s="36"/>
      <c r="AF31105" s="36"/>
    </row>
    <row r="31201" spans="31:32" x14ac:dyDescent="0.25">
      <c r="AE31201" s="34"/>
      <c r="AF31201" s="34"/>
    </row>
    <row r="31209" spans="31:32" x14ac:dyDescent="0.25">
      <c r="AE31209" s="36"/>
      <c r="AF31209" s="36"/>
    </row>
    <row r="31305" spans="31:32" x14ac:dyDescent="0.25">
      <c r="AE31305" s="34"/>
      <c r="AF31305" s="34"/>
    </row>
    <row r="31313" spans="31:32" x14ac:dyDescent="0.25">
      <c r="AE31313" s="36"/>
      <c r="AF31313" s="36"/>
    </row>
    <row r="31409" spans="31:32" x14ac:dyDescent="0.25">
      <c r="AE31409" s="34"/>
      <c r="AF31409" s="34"/>
    </row>
    <row r="31417" spans="31:32" x14ac:dyDescent="0.25">
      <c r="AE31417" s="36"/>
      <c r="AF31417" s="36"/>
    </row>
    <row r="31513" spans="31:32" x14ac:dyDescent="0.25">
      <c r="AE31513" s="34"/>
      <c r="AF31513" s="34"/>
    </row>
    <row r="31521" spans="31:32" x14ac:dyDescent="0.25">
      <c r="AE31521" s="36"/>
      <c r="AF31521" s="36"/>
    </row>
    <row r="31617" spans="31:32" x14ac:dyDescent="0.25">
      <c r="AE31617" s="34"/>
      <c r="AF31617" s="34"/>
    </row>
    <row r="31625" spans="31:32" x14ac:dyDescent="0.25">
      <c r="AE31625" s="36"/>
      <c r="AF31625" s="36"/>
    </row>
    <row r="31721" spans="31:32" x14ac:dyDescent="0.25">
      <c r="AE31721" s="34"/>
      <c r="AF31721" s="34"/>
    </row>
    <row r="31729" spans="31:32" x14ac:dyDescent="0.25">
      <c r="AE31729" s="36"/>
      <c r="AF31729" s="36"/>
    </row>
    <row r="31825" spans="31:32" x14ac:dyDescent="0.25">
      <c r="AE31825" s="34"/>
      <c r="AF31825" s="34"/>
    </row>
    <row r="31833" spans="31:32" x14ac:dyDescent="0.25">
      <c r="AE31833" s="36"/>
      <c r="AF31833" s="36"/>
    </row>
    <row r="31929" spans="31:32" x14ac:dyDescent="0.25">
      <c r="AE31929" s="34"/>
      <c r="AF31929" s="34"/>
    </row>
    <row r="31937" spans="31:32" x14ac:dyDescent="0.25">
      <c r="AE31937" s="36"/>
      <c r="AF31937" s="36"/>
    </row>
    <row r="32033" spans="31:32" x14ac:dyDescent="0.25">
      <c r="AE32033" s="34"/>
      <c r="AF32033" s="34"/>
    </row>
    <row r="32041" spans="31:32" x14ac:dyDescent="0.25">
      <c r="AE32041" s="36"/>
      <c r="AF32041" s="36"/>
    </row>
    <row r="32137" spans="31:32" x14ac:dyDescent="0.25">
      <c r="AE32137" s="34"/>
      <c r="AF32137" s="34"/>
    </row>
    <row r="32145" spans="31:32" x14ac:dyDescent="0.25">
      <c r="AE32145" s="36"/>
      <c r="AF32145" s="36"/>
    </row>
    <row r="32241" spans="31:32" x14ac:dyDescent="0.25">
      <c r="AE32241" s="34"/>
      <c r="AF32241" s="34"/>
    </row>
    <row r="32249" spans="31:32" x14ac:dyDescent="0.25">
      <c r="AE32249" s="36"/>
      <c r="AF32249" s="36"/>
    </row>
    <row r="32345" spans="31:32" x14ac:dyDescent="0.25">
      <c r="AE32345" s="34"/>
      <c r="AF32345" s="34"/>
    </row>
    <row r="32353" spans="31:32" x14ac:dyDescent="0.25">
      <c r="AE32353" s="36"/>
      <c r="AF32353" s="36"/>
    </row>
    <row r="32449" spans="31:32" x14ac:dyDescent="0.25">
      <c r="AE32449" s="34"/>
      <c r="AF32449" s="34"/>
    </row>
    <row r="32457" spans="31:32" x14ac:dyDescent="0.25">
      <c r="AE32457" s="36"/>
      <c r="AF32457" s="36"/>
    </row>
    <row r="32553" spans="31:32" x14ac:dyDescent="0.25">
      <c r="AE32553" s="34"/>
      <c r="AF32553" s="34"/>
    </row>
    <row r="32561" spans="31:32" x14ac:dyDescent="0.25">
      <c r="AE32561" s="36"/>
      <c r="AF32561" s="36"/>
    </row>
    <row r="32657" spans="31:32" x14ac:dyDescent="0.25">
      <c r="AE32657" s="34"/>
      <c r="AF32657" s="34"/>
    </row>
    <row r="32665" spans="31:32" x14ac:dyDescent="0.25">
      <c r="AE32665" s="36"/>
      <c r="AF32665" s="36"/>
    </row>
    <row r="32761" spans="31:32" x14ac:dyDescent="0.25">
      <c r="AE32761" s="34"/>
      <c r="AF32761" s="34"/>
    </row>
    <row r="32769" spans="31:32" x14ac:dyDescent="0.25">
      <c r="AE32769" s="36"/>
      <c r="AF32769" s="36"/>
    </row>
    <row r="32865" spans="31:32" x14ac:dyDescent="0.25">
      <c r="AE32865" s="34"/>
      <c r="AF32865" s="34"/>
    </row>
    <row r="32873" spans="31:32" x14ac:dyDescent="0.25">
      <c r="AE32873" s="36"/>
      <c r="AF32873" s="36"/>
    </row>
    <row r="32969" spans="31:32" x14ac:dyDescent="0.25">
      <c r="AE32969" s="34"/>
      <c r="AF32969" s="34"/>
    </row>
    <row r="32977" spans="31:32" x14ac:dyDescent="0.25">
      <c r="AE32977" s="36"/>
      <c r="AF32977" s="36"/>
    </row>
    <row r="33073" spans="31:32" x14ac:dyDescent="0.25">
      <c r="AE33073" s="34"/>
      <c r="AF33073" s="34"/>
    </row>
    <row r="33081" spans="31:32" x14ac:dyDescent="0.25">
      <c r="AE33081" s="36"/>
      <c r="AF33081" s="36"/>
    </row>
    <row r="33177" spans="31:32" x14ac:dyDescent="0.25">
      <c r="AE33177" s="34"/>
      <c r="AF33177" s="34"/>
    </row>
    <row r="33185" spans="31:32" x14ac:dyDescent="0.25">
      <c r="AE33185" s="36"/>
      <c r="AF33185" s="36"/>
    </row>
    <row r="33281" spans="31:32" x14ac:dyDescent="0.25">
      <c r="AE33281" s="34"/>
      <c r="AF33281" s="34"/>
    </row>
    <row r="33289" spans="31:32" x14ac:dyDescent="0.25">
      <c r="AE33289" s="36"/>
      <c r="AF33289" s="36"/>
    </row>
    <row r="33385" spans="31:32" x14ac:dyDescent="0.25">
      <c r="AE33385" s="34"/>
      <c r="AF33385" s="34"/>
    </row>
    <row r="33393" spans="31:32" x14ac:dyDescent="0.25">
      <c r="AE33393" s="36"/>
      <c r="AF33393" s="36"/>
    </row>
    <row r="33489" spans="31:32" x14ac:dyDescent="0.25">
      <c r="AE33489" s="34"/>
      <c r="AF33489" s="34"/>
    </row>
    <row r="33497" spans="31:32" x14ac:dyDescent="0.25">
      <c r="AE33497" s="36"/>
      <c r="AF33497" s="36"/>
    </row>
    <row r="33593" spans="31:32" x14ac:dyDescent="0.25">
      <c r="AE33593" s="34"/>
      <c r="AF33593" s="34"/>
    </row>
    <row r="33601" spans="31:32" x14ac:dyDescent="0.25">
      <c r="AE33601" s="36"/>
      <c r="AF33601" s="36"/>
    </row>
    <row r="33697" spans="31:32" x14ac:dyDescent="0.25">
      <c r="AE33697" s="34"/>
      <c r="AF33697" s="34"/>
    </row>
    <row r="33705" spans="31:32" x14ac:dyDescent="0.25">
      <c r="AE33705" s="36"/>
      <c r="AF33705" s="36"/>
    </row>
    <row r="33801" spans="31:32" x14ac:dyDescent="0.25">
      <c r="AE33801" s="34"/>
      <c r="AF33801" s="34"/>
    </row>
    <row r="33809" spans="31:32" x14ac:dyDescent="0.25">
      <c r="AE33809" s="36"/>
      <c r="AF33809" s="36"/>
    </row>
    <row r="33905" spans="31:32" x14ac:dyDescent="0.25">
      <c r="AE33905" s="34"/>
      <c r="AF33905" s="34"/>
    </row>
    <row r="33913" spans="31:32" x14ac:dyDescent="0.25">
      <c r="AE33913" s="36"/>
      <c r="AF33913" s="36"/>
    </row>
    <row r="34009" spans="31:32" x14ac:dyDescent="0.25">
      <c r="AE34009" s="34"/>
      <c r="AF34009" s="34"/>
    </row>
    <row r="34017" spans="31:32" x14ac:dyDescent="0.25">
      <c r="AE34017" s="36"/>
      <c r="AF34017" s="36"/>
    </row>
    <row r="34113" spans="31:32" x14ac:dyDescent="0.25">
      <c r="AE34113" s="34"/>
      <c r="AF34113" s="34"/>
    </row>
    <row r="34121" spans="31:32" x14ac:dyDescent="0.25">
      <c r="AE34121" s="36"/>
      <c r="AF34121" s="36"/>
    </row>
    <row r="34217" spans="31:32" x14ac:dyDescent="0.25">
      <c r="AE34217" s="34"/>
      <c r="AF34217" s="34"/>
    </row>
    <row r="34225" spans="31:32" x14ac:dyDescent="0.25">
      <c r="AE34225" s="36"/>
      <c r="AF34225" s="36"/>
    </row>
    <row r="34321" spans="31:32" x14ac:dyDescent="0.25">
      <c r="AE34321" s="34"/>
      <c r="AF34321" s="34"/>
    </row>
    <row r="34329" spans="31:32" x14ac:dyDescent="0.25">
      <c r="AE34329" s="36"/>
      <c r="AF34329" s="36"/>
    </row>
    <row r="34425" spans="31:32" x14ac:dyDescent="0.25">
      <c r="AE34425" s="34"/>
      <c r="AF34425" s="34"/>
    </row>
    <row r="34433" spans="31:32" x14ac:dyDescent="0.25">
      <c r="AE34433" s="36"/>
      <c r="AF34433" s="36"/>
    </row>
    <row r="34529" spans="31:32" x14ac:dyDescent="0.25">
      <c r="AE34529" s="34"/>
      <c r="AF34529" s="34"/>
    </row>
    <row r="34537" spans="31:32" x14ac:dyDescent="0.25">
      <c r="AE34537" s="36"/>
      <c r="AF34537" s="36"/>
    </row>
    <row r="34633" spans="31:32" x14ac:dyDescent="0.25">
      <c r="AE34633" s="34"/>
      <c r="AF34633" s="34"/>
    </row>
    <row r="34641" spans="31:32" x14ac:dyDescent="0.25">
      <c r="AE34641" s="36"/>
      <c r="AF34641" s="36"/>
    </row>
    <row r="34737" spans="31:32" x14ac:dyDescent="0.25">
      <c r="AE34737" s="34"/>
      <c r="AF34737" s="34"/>
    </row>
    <row r="34745" spans="31:32" x14ac:dyDescent="0.25">
      <c r="AE34745" s="36"/>
      <c r="AF34745" s="36"/>
    </row>
    <row r="34841" spans="31:32" x14ac:dyDescent="0.25">
      <c r="AE34841" s="34"/>
      <c r="AF34841" s="34"/>
    </row>
    <row r="34849" spans="31:32" x14ac:dyDescent="0.25">
      <c r="AE34849" s="36"/>
      <c r="AF34849" s="36"/>
    </row>
    <row r="34945" spans="31:32" x14ac:dyDescent="0.25">
      <c r="AE34945" s="34"/>
      <c r="AF34945" s="34"/>
    </row>
    <row r="34953" spans="31:32" x14ac:dyDescent="0.25">
      <c r="AE34953" s="36"/>
      <c r="AF34953" s="36"/>
    </row>
    <row r="35049" spans="31:32" x14ac:dyDescent="0.25">
      <c r="AE35049" s="34"/>
      <c r="AF35049" s="34"/>
    </row>
    <row r="35057" spans="31:32" x14ac:dyDescent="0.25">
      <c r="AE35057" s="36"/>
      <c r="AF35057" s="36"/>
    </row>
    <row r="35153" spans="31:32" x14ac:dyDescent="0.25">
      <c r="AE35153" s="34"/>
      <c r="AF35153" s="34"/>
    </row>
    <row r="35161" spans="31:32" x14ac:dyDescent="0.25">
      <c r="AE35161" s="36"/>
      <c r="AF35161" s="36"/>
    </row>
    <row r="35257" spans="31:32" x14ac:dyDescent="0.25">
      <c r="AE35257" s="34"/>
      <c r="AF35257" s="34"/>
    </row>
    <row r="35265" spans="31:32" x14ac:dyDescent="0.25">
      <c r="AE35265" s="36"/>
      <c r="AF35265" s="36"/>
    </row>
    <row r="35361" spans="31:32" x14ac:dyDescent="0.25">
      <c r="AE35361" s="34"/>
      <c r="AF35361" s="34"/>
    </row>
    <row r="35369" spans="31:32" x14ac:dyDescent="0.25">
      <c r="AE35369" s="36"/>
      <c r="AF35369" s="36"/>
    </row>
    <row r="35465" spans="31:32" x14ac:dyDescent="0.25">
      <c r="AE35465" s="34"/>
      <c r="AF35465" s="34"/>
    </row>
    <row r="35473" spans="31:32" x14ac:dyDescent="0.25">
      <c r="AE35473" s="36"/>
      <c r="AF35473" s="36"/>
    </row>
    <row r="35569" spans="31:32" x14ac:dyDescent="0.25">
      <c r="AE35569" s="34"/>
      <c r="AF35569" s="34"/>
    </row>
    <row r="35577" spans="31:32" x14ac:dyDescent="0.25">
      <c r="AE35577" s="36"/>
      <c r="AF35577" s="36"/>
    </row>
    <row r="35673" spans="31:32" x14ac:dyDescent="0.25">
      <c r="AE35673" s="34"/>
      <c r="AF35673" s="34"/>
    </row>
    <row r="35681" spans="31:32" x14ac:dyDescent="0.25">
      <c r="AE35681" s="36"/>
      <c r="AF35681" s="36"/>
    </row>
    <row r="35777" spans="31:32" x14ac:dyDescent="0.25">
      <c r="AE35777" s="34"/>
      <c r="AF35777" s="34"/>
    </row>
    <row r="35785" spans="31:32" x14ac:dyDescent="0.25">
      <c r="AE35785" s="36"/>
      <c r="AF35785" s="36"/>
    </row>
    <row r="35881" spans="31:32" x14ac:dyDescent="0.25">
      <c r="AE35881" s="34"/>
      <c r="AF35881" s="34"/>
    </row>
    <row r="35889" spans="31:32" x14ac:dyDescent="0.25">
      <c r="AE35889" s="36"/>
      <c r="AF35889" s="36"/>
    </row>
    <row r="35985" spans="31:32" x14ac:dyDescent="0.25">
      <c r="AE35985" s="34"/>
      <c r="AF35985" s="34"/>
    </row>
    <row r="35993" spans="31:32" x14ac:dyDescent="0.25">
      <c r="AE35993" s="36"/>
      <c r="AF35993" s="36"/>
    </row>
    <row r="36089" spans="31:32" x14ac:dyDescent="0.25">
      <c r="AE36089" s="34"/>
      <c r="AF36089" s="34"/>
    </row>
    <row r="36097" spans="31:32" x14ac:dyDescent="0.25">
      <c r="AE36097" s="36"/>
      <c r="AF36097" s="36"/>
    </row>
    <row r="36193" spans="31:32" x14ac:dyDescent="0.25">
      <c r="AE36193" s="34"/>
      <c r="AF36193" s="34"/>
    </row>
    <row r="36201" spans="31:32" x14ac:dyDescent="0.25">
      <c r="AE36201" s="36"/>
      <c r="AF36201" s="36"/>
    </row>
    <row r="36297" spans="31:32" x14ac:dyDescent="0.25">
      <c r="AE36297" s="34"/>
      <c r="AF36297" s="34"/>
    </row>
    <row r="36305" spans="31:32" x14ac:dyDescent="0.25">
      <c r="AE36305" s="36"/>
      <c r="AF36305" s="36"/>
    </row>
    <row r="36401" spans="31:32" x14ac:dyDescent="0.25">
      <c r="AE36401" s="34"/>
      <c r="AF36401" s="34"/>
    </row>
    <row r="36409" spans="31:32" x14ac:dyDescent="0.25">
      <c r="AE36409" s="36"/>
      <c r="AF36409" s="36"/>
    </row>
    <row r="36505" spans="31:32" x14ac:dyDescent="0.25">
      <c r="AE36505" s="34"/>
      <c r="AF36505" s="34"/>
    </row>
    <row r="36513" spans="31:32" x14ac:dyDescent="0.25">
      <c r="AE36513" s="36"/>
      <c r="AF36513" s="36"/>
    </row>
    <row r="36609" spans="31:32" x14ac:dyDescent="0.25">
      <c r="AE36609" s="34"/>
      <c r="AF36609" s="34"/>
    </row>
    <row r="36617" spans="31:32" x14ac:dyDescent="0.25">
      <c r="AE36617" s="36"/>
      <c r="AF36617" s="36"/>
    </row>
    <row r="36713" spans="31:32" x14ac:dyDescent="0.25">
      <c r="AE36713" s="34"/>
      <c r="AF36713" s="34"/>
    </row>
    <row r="36721" spans="31:32" x14ac:dyDescent="0.25">
      <c r="AE36721" s="36"/>
      <c r="AF36721" s="36"/>
    </row>
    <row r="36817" spans="31:32" x14ac:dyDescent="0.25">
      <c r="AE36817" s="34"/>
      <c r="AF36817" s="34"/>
    </row>
    <row r="36825" spans="31:32" x14ac:dyDescent="0.25">
      <c r="AE36825" s="36"/>
      <c r="AF36825" s="36"/>
    </row>
    <row r="36921" spans="31:32" x14ac:dyDescent="0.25">
      <c r="AE36921" s="34"/>
      <c r="AF36921" s="34"/>
    </row>
    <row r="36929" spans="31:32" x14ac:dyDescent="0.25">
      <c r="AE36929" s="36"/>
      <c r="AF36929" s="36"/>
    </row>
    <row r="37025" spans="31:32" x14ac:dyDescent="0.25">
      <c r="AE37025" s="34"/>
      <c r="AF37025" s="34"/>
    </row>
    <row r="37033" spans="31:32" x14ac:dyDescent="0.25">
      <c r="AE37033" s="36"/>
      <c r="AF37033" s="36"/>
    </row>
    <row r="37129" spans="31:32" x14ac:dyDescent="0.25">
      <c r="AE37129" s="34"/>
      <c r="AF37129" s="34"/>
    </row>
    <row r="37137" spans="31:32" x14ac:dyDescent="0.25">
      <c r="AE37137" s="36"/>
      <c r="AF37137" s="36"/>
    </row>
    <row r="37233" spans="31:32" x14ac:dyDescent="0.25">
      <c r="AE37233" s="34"/>
      <c r="AF37233" s="34"/>
    </row>
    <row r="37241" spans="31:32" x14ac:dyDescent="0.25">
      <c r="AE37241" s="36"/>
      <c r="AF37241" s="36"/>
    </row>
    <row r="37337" spans="31:32" x14ac:dyDescent="0.25">
      <c r="AE37337" s="34"/>
      <c r="AF37337" s="34"/>
    </row>
    <row r="37345" spans="31:32" x14ac:dyDescent="0.25">
      <c r="AE37345" s="36"/>
      <c r="AF37345" s="36"/>
    </row>
    <row r="37441" spans="31:32" x14ac:dyDescent="0.25">
      <c r="AE37441" s="34"/>
      <c r="AF37441" s="34"/>
    </row>
    <row r="37449" spans="31:32" x14ac:dyDescent="0.25">
      <c r="AE37449" s="36"/>
      <c r="AF37449" s="36"/>
    </row>
    <row r="37545" spans="31:32" x14ac:dyDescent="0.25">
      <c r="AE37545" s="34"/>
      <c r="AF37545" s="34"/>
    </row>
    <row r="37553" spans="31:32" x14ac:dyDescent="0.25">
      <c r="AE37553" s="36"/>
      <c r="AF37553" s="36"/>
    </row>
    <row r="37649" spans="31:32" x14ac:dyDescent="0.25">
      <c r="AE37649" s="34"/>
      <c r="AF37649" s="34"/>
    </row>
    <row r="37657" spans="31:32" x14ac:dyDescent="0.25">
      <c r="AE37657" s="36"/>
      <c r="AF37657" s="36"/>
    </row>
    <row r="37753" spans="31:32" x14ac:dyDescent="0.25">
      <c r="AE37753" s="34"/>
      <c r="AF37753" s="34"/>
    </row>
    <row r="37761" spans="31:32" x14ac:dyDescent="0.25">
      <c r="AE37761" s="36"/>
      <c r="AF37761" s="36"/>
    </row>
    <row r="37857" spans="31:32" x14ac:dyDescent="0.25">
      <c r="AE37857" s="34"/>
      <c r="AF37857" s="34"/>
    </row>
    <row r="37865" spans="31:32" x14ac:dyDescent="0.25">
      <c r="AE37865" s="36"/>
      <c r="AF37865" s="36"/>
    </row>
    <row r="37961" spans="31:32" x14ac:dyDescent="0.25">
      <c r="AE37961" s="34"/>
      <c r="AF37961" s="34"/>
    </row>
    <row r="37969" spans="31:32" x14ac:dyDescent="0.25">
      <c r="AE37969" s="36"/>
      <c r="AF37969" s="36"/>
    </row>
    <row r="38065" spans="31:32" x14ac:dyDescent="0.25">
      <c r="AE38065" s="34"/>
      <c r="AF38065" s="34"/>
    </row>
    <row r="38073" spans="31:32" x14ac:dyDescent="0.25">
      <c r="AE38073" s="36"/>
      <c r="AF38073" s="36"/>
    </row>
    <row r="38169" spans="31:32" x14ac:dyDescent="0.25">
      <c r="AE38169" s="34"/>
      <c r="AF38169" s="34"/>
    </row>
    <row r="38177" spans="31:32" x14ac:dyDescent="0.25">
      <c r="AE38177" s="36"/>
      <c r="AF38177" s="36"/>
    </row>
    <row r="38273" spans="31:32" x14ac:dyDescent="0.25">
      <c r="AE38273" s="34"/>
      <c r="AF38273" s="34"/>
    </row>
    <row r="38281" spans="31:32" x14ac:dyDescent="0.25">
      <c r="AE38281" s="36"/>
      <c r="AF38281" s="36"/>
    </row>
    <row r="38377" spans="31:32" x14ac:dyDescent="0.25">
      <c r="AE38377" s="34"/>
      <c r="AF38377" s="34"/>
    </row>
    <row r="38385" spans="31:32" x14ac:dyDescent="0.25">
      <c r="AE38385" s="36"/>
      <c r="AF38385" s="36"/>
    </row>
    <row r="38481" spans="31:32" x14ac:dyDescent="0.25">
      <c r="AE38481" s="34"/>
      <c r="AF38481" s="34"/>
    </row>
    <row r="38489" spans="31:32" x14ac:dyDescent="0.25">
      <c r="AE38489" s="36"/>
      <c r="AF38489" s="36"/>
    </row>
    <row r="38585" spans="31:32" x14ac:dyDescent="0.25">
      <c r="AE38585" s="34"/>
      <c r="AF38585" s="34"/>
    </row>
    <row r="38593" spans="31:32" x14ac:dyDescent="0.25">
      <c r="AE38593" s="36"/>
      <c r="AF38593" s="36"/>
    </row>
    <row r="38689" spans="31:32" x14ac:dyDescent="0.25">
      <c r="AE38689" s="34"/>
      <c r="AF38689" s="34"/>
    </row>
    <row r="38697" spans="31:32" x14ac:dyDescent="0.25">
      <c r="AE38697" s="36"/>
      <c r="AF38697" s="36"/>
    </row>
    <row r="38793" spans="31:32" x14ac:dyDescent="0.25">
      <c r="AE38793" s="34"/>
      <c r="AF38793" s="34"/>
    </row>
    <row r="38801" spans="31:32" x14ac:dyDescent="0.25">
      <c r="AE38801" s="36"/>
      <c r="AF38801" s="36"/>
    </row>
    <row r="38897" spans="31:32" x14ac:dyDescent="0.25">
      <c r="AE38897" s="34"/>
      <c r="AF38897" s="34"/>
    </row>
    <row r="38905" spans="31:32" x14ac:dyDescent="0.25">
      <c r="AE38905" s="36"/>
      <c r="AF38905" s="36"/>
    </row>
    <row r="39001" spans="31:32" x14ac:dyDescent="0.25">
      <c r="AE39001" s="34"/>
      <c r="AF39001" s="34"/>
    </row>
    <row r="39009" spans="31:32" x14ac:dyDescent="0.25">
      <c r="AE39009" s="36"/>
      <c r="AF39009" s="36"/>
    </row>
    <row r="39105" spans="31:32" x14ac:dyDescent="0.25">
      <c r="AE39105" s="34"/>
      <c r="AF39105" s="34"/>
    </row>
    <row r="39113" spans="31:32" x14ac:dyDescent="0.25">
      <c r="AE39113" s="36"/>
      <c r="AF39113" s="36"/>
    </row>
    <row r="39209" spans="31:32" x14ac:dyDescent="0.25">
      <c r="AE39209" s="34"/>
      <c r="AF39209" s="34"/>
    </row>
    <row r="39217" spans="31:32" x14ac:dyDescent="0.25">
      <c r="AE39217" s="36"/>
      <c r="AF39217" s="36"/>
    </row>
    <row r="39313" spans="31:32" x14ac:dyDescent="0.25">
      <c r="AE39313" s="34"/>
      <c r="AF39313" s="34"/>
    </row>
    <row r="39321" spans="31:32" x14ac:dyDescent="0.25">
      <c r="AE39321" s="36"/>
      <c r="AF39321" s="36"/>
    </row>
    <row r="39417" spans="31:32" x14ac:dyDescent="0.25">
      <c r="AE39417" s="34"/>
      <c r="AF39417" s="34"/>
    </row>
    <row r="39425" spans="31:32" x14ac:dyDescent="0.25">
      <c r="AE39425" s="36"/>
      <c r="AF39425" s="36"/>
    </row>
    <row r="39521" spans="31:32" x14ac:dyDescent="0.25">
      <c r="AE39521" s="34"/>
      <c r="AF39521" s="34"/>
    </row>
    <row r="39529" spans="31:32" x14ac:dyDescent="0.25">
      <c r="AE39529" s="36"/>
      <c r="AF39529" s="36"/>
    </row>
    <row r="39625" spans="31:32" x14ac:dyDescent="0.25">
      <c r="AE39625" s="34"/>
      <c r="AF39625" s="34"/>
    </row>
    <row r="39633" spans="31:32" x14ac:dyDescent="0.25">
      <c r="AE39633" s="36"/>
      <c r="AF39633" s="36"/>
    </row>
    <row r="39729" spans="31:32" x14ac:dyDescent="0.25">
      <c r="AE39729" s="34"/>
      <c r="AF39729" s="34"/>
    </row>
    <row r="39737" spans="31:32" x14ac:dyDescent="0.25">
      <c r="AE39737" s="36"/>
      <c r="AF39737" s="36"/>
    </row>
    <row r="39833" spans="31:32" x14ac:dyDescent="0.25">
      <c r="AE39833" s="34"/>
      <c r="AF39833" s="34"/>
    </row>
    <row r="39841" spans="31:32" x14ac:dyDescent="0.25">
      <c r="AE39841" s="36"/>
      <c r="AF39841" s="36"/>
    </row>
    <row r="39937" spans="31:32" x14ac:dyDescent="0.25">
      <c r="AE39937" s="34"/>
      <c r="AF39937" s="34"/>
    </row>
    <row r="39945" spans="31:32" x14ac:dyDescent="0.25">
      <c r="AE39945" s="36"/>
      <c r="AF39945" s="36"/>
    </row>
    <row r="40041" spans="31:32" x14ac:dyDescent="0.25">
      <c r="AE40041" s="34"/>
      <c r="AF40041" s="34"/>
    </row>
    <row r="40049" spans="31:32" x14ac:dyDescent="0.25">
      <c r="AE40049" s="36"/>
      <c r="AF40049" s="36"/>
    </row>
    <row r="40145" spans="31:32" x14ac:dyDescent="0.25">
      <c r="AE40145" s="34"/>
      <c r="AF40145" s="34"/>
    </row>
    <row r="40153" spans="31:32" x14ac:dyDescent="0.25">
      <c r="AE40153" s="36"/>
      <c r="AF40153" s="36"/>
    </row>
    <row r="40249" spans="31:32" x14ac:dyDescent="0.25">
      <c r="AE40249" s="34"/>
      <c r="AF40249" s="34"/>
    </row>
    <row r="40257" spans="31:32" x14ac:dyDescent="0.25">
      <c r="AE40257" s="36"/>
      <c r="AF40257" s="36"/>
    </row>
    <row r="40353" spans="31:32" x14ac:dyDescent="0.25">
      <c r="AE40353" s="34"/>
      <c r="AF40353" s="34"/>
    </row>
    <row r="40361" spans="31:32" x14ac:dyDescent="0.25">
      <c r="AE40361" s="36"/>
      <c r="AF40361" s="36"/>
    </row>
    <row r="40457" spans="31:32" x14ac:dyDescent="0.25">
      <c r="AE40457" s="34"/>
      <c r="AF40457" s="34"/>
    </row>
    <row r="40465" spans="31:32" x14ac:dyDescent="0.25">
      <c r="AE40465" s="36"/>
      <c r="AF40465" s="36"/>
    </row>
    <row r="40561" spans="31:32" x14ac:dyDescent="0.25">
      <c r="AE40561" s="34"/>
      <c r="AF40561" s="34"/>
    </row>
    <row r="40569" spans="31:32" x14ac:dyDescent="0.25">
      <c r="AE40569" s="36"/>
      <c r="AF40569" s="36"/>
    </row>
    <row r="40665" spans="31:32" x14ac:dyDescent="0.25">
      <c r="AE40665" s="34"/>
      <c r="AF40665" s="34"/>
    </row>
    <row r="40673" spans="31:32" x14ac:dyDescent="0.25">
      <c r="AE40673" s="36"/>
      <c r="AF40673" s="36"/>
    </row>
    <row r="40769" spans="31:32" x14ac:dyDescent="0.25">
      <c r="AE40769" s="34"/>
      <c r="AF40769" s="34"/>
    </row>
    <row r="40777" spans="31:32" x14ac:dyDescent="0.25">
      <c r="AE40777" s="36"/>
      <c r="AF40777" s="36"/>
    </row>
    <row r="40873" spans="31:32" x14ac:dyDescent="0.25">
      <c r="AE40873" s="34"/>
      <c r="AF40873" s="34"/>
    </row>
    <row r="40881" spans="31:32" x14ac:dyDescent="0.25">
      <c r="AE40881" s="36"/>
      <c r="AF40881" s="36"/>
    </row>
    <row r="40977" spans="31:32" x14ac:dyDescent="0.25">
      <c r="AE40977" s="34"/>
      <c r="AF40977" s="34"/>
    </row>
    <row r="40985" spans="31:32" x14ac:dyDescent="0.25">
      <c r="AE40985" s="36"/>
      <c r="AF40985" s="36"/>
    </row>
    <row r="41081" spans="31:32" x14ac:dyDescent="0.25">
      <c r="AE41081" s="34"/>
      <c r="AF41081" s="34"/>
    </row>
    <row r="41089" spans="31:32" x14ac:dyDescent="0.25">
      <c r="AE41089" s="36"/>
      <c r="AF41089" s="36"/>
    </row>
    <row r="41185" spans="31:32" x14ac:dyDescent="0.25">
      <c r="AE41185" s="34"/>
      <c r="AF41185" s="34"/>
    </row>
    <row r="41193" spans="31:32" x14ac:dyDescent="0.25">
      <c r="AE41193" s="36"/>
      <c r="AF41193" s="36"/>
    </row>
    <row r="41289" spans="31:32" x14ac:dyDescent="0.25">
      <c r="AE41289" s="34"/>
      <c r="AF41289" s="34"/>
    </row>
    <row r="41297" spans="31:32" x14ac:dyDescent="0.25">
      <c r="AE41297" s="36"/>
      <c r="AF41297" s="36"/>
    </row>
    <row r="41393" spans="31:32" x14ac:dyDescent="0.25">
      <c r="AE41393" s="34"/>
      <c r="AF41393" s="34"/>
    </row>
    <row r="41401" spans="31:32" x14ac:dyDescent="0.25">
      <c r="AE41401" s="36"/>
      <c r="AF41401" s="36"/>
    </row>
    <row r="41497" spans="31:32" x14ac:dyDescent="0.25">
      <c r="AE41497" s="34"/>
      <c r="AF41497" s="34"/>
    </row>
    <row r="41505" spans="31:32" x14ac:dyDescent="0.25">
      <c r="AE41505" s="36"/>
      <c r="AF41505" s="36"/>
    </row>
    <row r="41601" spans="31:32" x14ac:dyDescent="0.25">
      <c r="AE41601" s="34"/>
      <c r="AF41601" s="34"/>
    </row>
    <row r="41609" spans="31:32" x14ac:dyDescent="0.25">
      <c r="AE41609" s="36"/>
      <c r="AF41609" s="36"/>
    </row>
    <row r="41705" spans="31:32" x14ac:dyDescent="0.25">
      <c r="AE41705" s="34"/>
      <c r="AF41705" s="34"/>
    </row>
    <row r="41713" spans="31:32" x14ac:dyDescent="0.25">
      <c r="AE41713" s="36"/>
      <c r="AF41713" s="36"/>
    </row>
    <row r="41809" spans="31:32" x14ac:dyDescent="0.25">
      <c r="AE41809" s="34"/>
      <c r="AF41809" s="34"/>
    </row>
    <row r="41817" spans="31:32" x14ac:dyDescent="0.25">
      <c r="AE41817" s="36"/>
      <c r="AF41817" s="36"/>
    </row>
    <row r="41913" spans="31:32" x14ac:dyDescent="0.25">
      <c r="AE41913" s="34"/>
      <c r="AF41913" s="34"/>
    </row>
    <row r="41921" spans="31:32" x14ac:dyDescent="0.25">
      <c r="AE41921" s="36"/>
      <c r="AF41921" s="36"/>
    </row>
    <row r="42017" spans="31:32" x14ac:dyDescent="0.25">
      <c r="AE42017" s="34"/>
      <c r="AF42017" s="34"/>
    </row>
    <row r="42025" spans="31:32" x14ac:dyDescent="0.25">
      <c r="AE42025" s="36"/>
      <c r="AF42025" s="36"/>
    </row>
    <row r="42121" spans="31:32" x14ac:dyDescent="0.25">
      <c r="AE42121" s="34"/>
      <c r="AF42121" s="34"/>
    </row>
    <row r="42129" spans="31:32" x14ac:dyDescent="0.25">
      <c r="AE42129" s="36"/>
      <c r="AF42129" s="36"/>
    </row>
    <row r="42225" spans="31:32" x14ac:dyDescent="0.25">
      <c r="AE42225" s="34"/>
      <c r="AF42225" s="34"/>
    </row>
    <row r="42233" spans="31:32" x14ac:dyDescent="0.25">
      <c r="AE42233" s="36"/>
      <c r="AF42233" s="36"/>
    </row>
    <row r="42329" spans="31:32" x14ac:dyDescent="0.25">
      <c r="AE42329" s="34"/>
      <c r="AF42329" s="34"/>
    </row>
    <row r="42337" spans="31:32" x14ac:dyDescent="0.25">
      <c r="AE42337" s="36"/>
      <c r="AF42337" s="36"/>
    </row>
    <row r="42433" spans="31:32" x14ac:dyDescent="0.25">
      <c r="AE42433" s="34"/>
      <c r="AF42433" s="34"/>
    </row>
    <row r="42441" spans="31:32" x14ac:dyDescent="0.25">
      <c r="AE42441" s="36"/>
      <c r="AF42441" s="36"/>
    </row>
    <row r="42537" spans="31:32" x14ac:dyDescent="0.25">
      <c r="AE42537" s="34"/>
      <c r="AF42537" s="34"/>
    </row>
    <row r="42545" spans="31:32" x14ac:dyDescent="0.25">
      <c r="AE42545" s="36"/>
      <c r="AF42545" s="36"/>
    </row>
    <row r="42641" spans="31:32" x14ac:dyDescent="0.25">
      <c r="AE42641" s="34"/>
      <c r="AF42641" s="34"/>
    </row>
    <row r="42649" spans="31:32" x14ac:dyDescent="0.25">
      <c r="AE42649" s="36"/>
      <c r="AF42649" s="36"/>
    </row>
    <row r="42745" spans="31:32" x14ac:dyDescent="0.25">
      <c r="AE42745" s="34"/>
      <c r="AF42745" s="34"/>
    </row>
    <row r="42753" spans="31:32" x14ac:dyDescent="0.25">
      <c r="AE42753" s="36"/>
      <c r="AF42753" s="36"/>
    </row>
    <row r="42849" spans="31:32" x14ac:dyDescent="0.25">
      <c r="AE42849" s="34"/>
      <c r="AF42849" s="34"/>
    </row>
    <row r="42857" spans="31:32" x14ac:dyDescent="0.25">
      <c r="AE42857" s="36"/>
      <c r="AF42857" s="36"/>
    </row>
    <row r="42953" spans="31:32" x14ac:dyDescent="0.25">
      <c r="AE42953" s="34"/>
      <c r="AF42953" s="34"/>
    </row>
    <row r="42961" spans="31:32" x14ac:dyDescent="0.25">
      <c r="AE42961" s="36"/>
      <c r="AF42961" s="36"/>
    </row>
    <row r="43057" spans="31:32" x14ac:dyDescent="0.25">
      <c r="AE43057" s="34"/>
      <c r="AF43057" s="34"/>
    </row>
    <row r="43065" spans="31:32" x14ac:dyDescent="0.25">
      <c r="AE43065" s="36"/>
      <c r="AF43065" s="36"/>
    </row>
    <row r="43161" spans="31:32" x14ac:dyDescent="0.25">
      <c r="AE43161" s="34"/>
      <c r="AF43161" s="34"/>
    </row>
    <row r="43169" spans="31:32" x14ac:dyDescent="0.25">
      <c r="AE43169" s="36"/>
      <c r="AF43169" s="36"/>
    </row>
    <row r="43265" spans="31:32" x14ac:dyDescent="0.25">
      <c r="AE43265" s="34"/>
      <c r="AF43265" s="34"/>
    </row>
    <row r="43273" spans="31:32" x14ac:dyDescent="0.25">
      <c r="AE43273" s="36"/>
      <c r="AF43273" s="36"/>
    </row>
    <row r="43369" spans="31:32" x14ac:dyDescent="0.25">
      <c r="AE43369" s="34"/>
      <c r="AF43369" s="34"/>
    </row>
    <row r="43377" spans="31:32" x14ac:dyDescent="0.25">
      <c r="AE43377" s="36"/>
      <c r="AF43377" s="36"/>
    </row>
    <row r="43473" spans="31:32" x14ac:dyDescent="0.25">
      <c r="AE43473" s="34"/>
      <c r="AF43473" s="34"/>
    </row>
    <row r="43481" spans="31:32" x14ac:dyDescent="0.25">
      <c r="AE43481" s="36"/>
      <c r="AF43481" s="36"/>
    </row>
    <row r="43577" spans="31:32" x14ac:dyDescent="0.25">
      <c r="AE43577" s="34"/>
      <c r="AF43577" s="34"/>
    </row>
    <row r="43585" spans="31:32" x14ac:dyDescent="0.25">
      <c r="AE43585" s="36"/>
      <c r="AF43585" s="36"/>
    </row>
    <row r="43681" spans="31:32" x14ac:dyDescent="0.25">
      <c r="AE43681" s="34"/>
      <c r="AF43681" s="34"/>
    </row>
    <row r="43689" spans="31:32" x14ac:dyDescent="0.25">
      <c r="AE43689" s="36"/>
      <c r="AF43689" s="36"/>
    </row>
    <row r="43785" spans="31:32" x14ac:dyDescent="0.25">
      <c r="AE43785" s="34"/>
      <c r="AF43785" s="34"/>
    </row>
    <row r="43793" spans="31:32" x14ac:dyDescent="0.25">
      <c r="AE43793" s="36"/>
      <c r="AF43793" s="36"/>
    </row>
    <row r="43889" spans="31:32" x14ac:dyDescent="0.25">
      <c r="AE43889" s="34"/>
      <c r="AF43889" s="34"/>
    </row>
    <row r="43897" spans="31:32" x14ac:dyDescent="0.25">
      <c r="AE43897" s="36"/>
      <c r="AF43897" s="36"/>
    </row>
    <row r="43993" spans="31:32" x14ac:dyDescent="0.25">
      <c r="AE43993" s="34"/>
      <c r="AF43993" s="34"/>
    </row>
    <row r="44001" spans="31:32" x14ac:dyDescent="0.25">
      <c r="AE44001" s="36"/>
      <c r="AF44001" s="36"/>
    </row>
    <row r="44097" spans="31:32" x14ac:dyDescent="0.25">
      <c r="AE44097" s="34"/>
      <c r="AF44097" s="34"/>
    </row>
    <row r="44105" spans="31:32" x14ac:dyDescent="0.25">
      <c r="AE44105" s="36"/>
      <c r="AF44105" s="36"/>
    </row>
    <row r="44201" spans="31:32" x14ac:dyDescent="0.25">
      <c r="AE44201" s="34"/>
      <c r="AF44201" s="34"/>
    </row>
    <row r="44209" spans="31:32" x14ac:dyDescent="0.25">
      <c r="AE44209" s="36"/>
      <c r="AF44209" s="36"/>
    </row>
    <row r="44305" spans="31:32" x14ac:dyDescent="0.25">
      <c r="AE44305" s="34"/>
      <c r="AF44305" s="34"/>
    </row>
    <row r="44313" spans="31:32" x14ac:dyDescent="0.25">
      <c r="AE44313" s="36"/>
      <c r="AF44313" s="36"/>
    </row>
    <row r="44409" spans="31:32" x14ac:dyDescent="0.25">
      <c r="AE44409" s="34"/>
      <c r="AF44409" s="34"/>
    </row>
    <row r="44417" spans="31:32" x14ac:dyDescent="0.25">
      <c r="AE44417" s="36"/>
      <c r="AF44417" s="36"/>
    </row>
    <row r="44513" spans="31:32" x14ac:dyDescent="0.25">
      <c r="AE44513" s="34"/>
      <c r="AF44513" s="34"/>
    </row>
    <row r="44521" spans="31:32" x14ac:dyDescent="0.25">
      <c r="AE44521" s="36"/>
      <c r="AF44521" s="36"/>
    </row>
    <row r="44617" spans="31:32" x14ac:dyDescent="0.25">
      <c r="AE44617" s="34"/>
      <c r="AF44617" s="34"/>
    </row>
    <row r="44625" spans="31:32" x14ac:dyDescent="0.25">
      <c r="AE44625" s="36"/>
      <c r="AF44625" s="36"/>
    </row>
    <row r="44721" spans="31:32" x14ac:dyDescent="0.25">
      <c r="AE44721" s="34"/>
      <c r="AF44721" s="34"/>
    </row>
    <row r="44729" spans="31:32" x14ac:dyDescent="0.25">
      <c r="AE44729" s="36"/>
      <c r="AF44729" s="36"/>
    </row>
    <row r="44825" spans="31:32" x14ac:dyDescent="0.25">
      <c r="AE44825" s="34"/>
      <c r="AF44825" s="34"/>
    </row>
    <row r="44833" spans="31:32" x14ac:dyDescent="0.25">
      <c r="AE44833" s="36"/>
      <c r="AF44833" s="36"/>
    </row>
    <row r="44929" spans="31:32" x14ac:dyDescent="0.25">
      <c r="AE44929" s="34"/>
      <c r="AF44929" s="34"/>
    </row>
    <row r="44937" spans="31:32" x14ac:dyDescent="0.25">
      <c r="AE44937" s="36"/>
      <c r="AF44937" s="36"/>
    </row>
    <row r="45033" spans="31:32" x14ac:dyDescent="0.25">
      <c r="AE45033" s="34"/>
      <c r="AF45033" s="34"/>
    </row>
    <row r="45041" spans="31:32" x14ac:dyDescent="0.25">
      <c r="AE45041" s="36"/>
      <c r="AF45041" s="36"/>
    </row>
    <row r="45137" spans="31:32" x14ac:dyDescent="0.25">
      <c r="AE45137" s="34"/>
      <c r="AF45137" s="34"/>
    </row>
    <row r="45145" spans="31:32" x14ac:dyDescent="0.25">
      <c r="AE45145" s="36"/>
      <c r="AF45145" s="36"/>
    </row>
    <row r="45241" spans="31:32" x14ac:dyDescent="0.25">
      <c r="AE45241" s="34"/>
      <c r="AF45241" s="34"/>
    </row>
    <row r="45249" spans="31:32" x14ac:dyDescent="0.25">
      <c r="AE45249" s="36"/>
      <c r="AF45249" s="36"/>
    </row>
    <row r="45345" spans="31:32" x14ac:dyDescent="0.25">
      <c r="AE45345" s="34"/>
      <c r="AF45345" s="34"/>
    </row>
    <row r="45353" spans="31:32" x14ac:dyDescent="0.25">
      <c r="AE45353" s="36"/>
      <c r="AF45353" s="36"/>
    </row>
    <row r="45449" spans="31:32" x14ac:dyDescent="0.25">
      <c r="AE45449" s="34"/>
      <c r="AF45449" s="34"/>
    </row>
    <row r="45457" spans="31:32" x14ac:dyDescent="0.25">
      <c r="AE45457" s="36"/>
      <c r="AF45457" s="36"/>
    </row>
    <row r="45553" spans="31:32" x14ac:dyDescent="0.25">
      <c r="AE45553" s="34"/>
      <c r="AF45553" s="34"/>
    </row>
    <row r="45561" spans="31:32" x14ac:dyDescent="0.25">
      <c r="AE45561" s="36"/>
      <c r="AF45561" s="36"/>
    </row>
    <row r="45657" spans="31:32" x14ac:dyDescent="0.25">
      <c r="AE45657" s="34"/>
      <c r="AF45657" s="34"/>
    </row>
    <row r="45665" spans="31:32" x14ac:dyDescent="0.25">
      <c r="AE45665" s="36"/>
      <c r="AF45665" s="36"/>
    </row>
    <row r="45761" spans="31:32" x14ac:dyDescent="0.25">
      <c r="AE45761" s="34"/>
      <c r="AF45761" s="34"/>
    </row>
    <row r="45769" spans="31:32" x14ac:dyDescent="0.25">
      <c r="AE45769" s="36"/>
      <c r="AF45769" s="36"/>
    </row>
    <row r="45865" spans="31:32" x14ac:dyDescent="0.25">
      <c r="AE45865" s="34"/>
      <c r="AF45865" s="34"/>
    </row>
    <row r="45873" spans="31:32" x14ac:dyDescent="0.25">
      <c r="AE45873" s="36"/>
      <c r="AF45873" s="36"/>
    </row>
    <row r="45969" spans="31:32" x14ac:dyDescent="0.25">
      <c r="AE45969" s="34"/>
      <c r="AF45969" s="34"/>
    </row>
    <row r="45977" spans="31:32" x14ac:dyDescent="0.25">
      <c r="AE45977" s="36"/>
      <c r="AF45977" s="36"/>
    </row>
    <row r="46073" spans="31:32" x14ac:dyDescent="0.25">
      <c r="AE46073" s="34"/>
      <c r="AF46073" s="34"/>
    </row>
    <row r="46081" spans="31:32" x14ac:dyDescent="0.25">
      <c r="AE46081" s="36"/>
      <c r="AF46081" s="36"/>
    </row>
    <row r="46177" spans="31:32" x14ac:dyDescent="0.25">
      <c r="AE46177" s="34"/>
      <c r="AF46177" s="34"/>
    </row>
    <row r="46185" spans="31:32" x14ac:dyDescent="0.25">
      <c r="AE46185" s="36"/>
      <c r="AF46185" s="36"/>
    </row>
    <row r="46281" spans="31:32" x14ac:dyDescent="0.25">
      <c r="AE46281" s="34"/>
      <c r="AF46281" s="34"/>
    </row>
    <row r="46289" spans="31:32" x14ac:dyDescent="0.25">
      <c r="AE46289" s="36"/>
      <c r="AF46289" s="36"/>
    </row>
    <row r="46385" spans="31:32" x14ac:dyDescent="0.25">
      <c r="AE46385" s="34"/>
      <c r="AF46385" s="34"/>
    </row>
    <row r="46393" spans="31:32" x14ac:dyDescent="0.25">
      <c r="AE46393" s="36"/>
      <c r="AF46393" s="36"/>
    </row>
    <row r="46489" spans="31:32" x14ac:dyDescent="0.25">
      <c r="AE46489" s="34"/>
      <c r="AF46489" s="34"/>
    </row>
    <row r="46497" spans="31:32" x14ac:dyDescent="0.25">
      <c r="AE46497" s="36"/>
      <c r="AF46497" s="36"/>
    </row>
    <row r="46593" spans="31:32" x14ac:dyDescent="0.25">
      <c r="AE46593" s="34"/>
      <c r="AF46593" s="34"/>
    </row>
    <row r="46601" spans="31:32" x14ac:dyDescent="0.25">
      <c r="AE46601" s="36"/>
      <c r="AF46601" s="36"/>
    </row>
    <row r="46697" spans="31:32" x14ac:dyDescent="0.25">
      <c r="AE46697" s="34"/>
      <c r="AF46697" s="34"/>
    </row>
    <row r="46705" spans="31:32" x14ac:dyDescent="0.25">
      <c r="AE46705" s="36"/>
      <c r="AF46705" s="36"/>
    </row>
    <row r="46801" spans="31:32" x14ac:dyDescent="0.25">
      <c r="AE46801" s="34"/>
      <c r="AF46801" s="34"/>
    </row>
    <row r="46809" spans="31:32" x14ac:dyDescent="0.25">
      <c r="AE46809" s="36"/>
      <c r="AF46809" s="36"/>
    </row>
    <row r="46905" spans="31:32" x14ac:dyDescent="0.25">
      <c r="AE46905" s="34"/>
      <c r="AF46905" s="34"/>
    </row>
    <row r="46913" spans="31:32" x14ac:dyDescent="0.25">
      <c r="AE46913" s="36"/>
      <c r="AF46913" s="36"/>
    </row>
    <row r="47009" spans="31:32" x14ac:dyDescent="0.25">
      <c r="AE47009" s="34"/>
      <c r="AF47009" s="34"/>
    </row>
    <row r="47017" spans="31:32" x14ac:dyDescent="0.25">
      <c r="AE47017" s="36"/>
      <c r="AF47017" s="36"/>
    </row>
    <row r="47113" spans="31:32" x14ac:dyDescent="0.25">
      <c r="AE47113" s="34"/>
      <c r="AF47113" s="34"/>
    </row>
    <row r="47121" spans="31:32" x14ac:dyDescent="0.25">
      <c r="AE47121" s="36"/>
      <c r="AF47121" s="36"/>
    </row>
    <row r="47217" spans="31:32" x14ac:dyDescent="0.25">
      <c r="AE47217" s="34"/>
      <c r="AF47217" s="34"/>
    </row>
    <row r="47225" spans="31:32" x14ac:dyDescent="0.25">
      <c r="AE47225" s="36"/>
      <c r="AF47225" s="36"/>
    </row>
    <row r="47321" spans="31:32" x14ac:dyDescent="0.25">
      <c r="AE47321" s="34"/>
      <c r="AF47321" s="34"/>
    </row>
    <row r="47329" spans="31:32" x14ac:dyDescent="0.25">
      <c r="AE47329" s="36"/>
      <c r="AF47329" s="36"/>
    </row>
    <row r="47425" spans="31:32" x14ac:dyDescent="0.25">
      <c r="AE47425" s="34"/>
      <c r="AF47425" s="34"/>
    </row>
    <row r="47433" spans="31:32" x14ac:dyDescent="0.25">
      <c r="AE47433" s="36"/>
      <c r="AF47433" s="36"/>
    </row>
    <row r="47529" spans="31:32" x14ac:dyDescent="0.25">
      <c r="AE47529" s="34"/>
      <c r="AF47529" s="34"/>
    </row>
    <row r="47537" spans="31:32" x14ac:dyDescent="0.25">
      <c r="AE47537" s="36"/>
      <c r="AF47537" s="36"/>
    </row>
    <row r="47633" spans="31:32" x14ac:dyDescent="0.25">
      <c r="AE47633" s="34"/>
      <c r="AF47633" s="34"/>
    </row>
    <row r="47641" spans="31:32" x14ac:dyDescent="0.25">
      <c r="AE47641" s="36"/>
      <c r="AF47641" s="36"/>
    </row>
    <row r="47737" spans="31:32" x14ac:dyDescent="0.25">
      <c r="AE47737" s="34"/>
      <c r="AF47737" s="34"/>
    </row>
    <row r="47745" spans="31:32" x14ac:dyDescent="0.25">
      <c r="AE47745" s="36"/>
      <c r="AF47745" s="36"/>
    </row>
    <row r="47841" spans="31:32" x14ac:dyDescent="0.25">
      <c r="AE47841" s="34"/>
      <c r="AF47841" s="34"/>
    </row>
    <row r="47849" spans="31:32" x14ac:dyDescent="0.25">
      <c r="AE47849" s="36"/>
      <c r="AF47849" s="36"/>
    </row>
    <row r="47945" spans="31:32" x14ac:dyDescent="0.25">
      <c r="AE47945" s="34"/>
      <c r="AF47945" s="34"/>
    </row>
    <row r="47953" spans="31:32" x14ac:dyDescent="0.25">
      <c r="AE47953" s="36"/>
      <c r="AF47953" s="36"/>
    </row>
    <row r="48049" spans="31:32" x14ac:dyDescent="0.25">
      <c r="AE48049" s="34"/>
      <c r="AF48049" s="34"/>
    </row>
    <row r="48057" spans="31:32" x14ac:dyDescent="0.25">
      <c r="AE48057" s="36"/>
      <c r="AF48057" s="36"/>
    </row>
    <row r="48153" spans="31:32" x14ac:dyDescent="0.25">
      <c r="AE48153" s="34"/>
      <c r="AF48153" s="34"/>
    </row>
    <row r="48161" spans="31:32" x14ac:dyDescent="0.25">
      <c r="AE48161" s="36"/>
      <c r="AF48161" s="36"/>
    </row>
    <row r="48257" spans="31:32" x14ac:dyDescent="0.25">
      <c r="AE48257" s="34"/>
      <c r="AF48257" s="34"/>
    </row>
    <row r="48265" spans="31:32" x14ac:dyDescent="0.25">
      <c r="AE48265" s="36"/>
      <c r="AF48265" s="36"/>
    </row>
    <row r="48361" spans="31:32" x14ac:dyDescent="0.25">
      <c r="AE48361" s="34"/>
      <c r="AF48361" s="34"/>
    </row>
    <row r="48369" spans="31:32" x14ac:dyDescent="0.25">
      <c r="AE48369" s="36"/>
      <c r="AF48369" s="36"/>
    </row>
    <row r="48465" spans="31:32" x14ac:dyDescent="0.25">
      <c r="AE48465" s="34"/>
      <c r="AF48465" s="34"/>
    </row>
    <row r="48473" spans="31:32" x14ac:dyDescent="0.25">
      <c r="AE48473" s="36"/>
      <c r="AF48473" s="36"/>
    </row>
    <row r="48569" spans="31:32" x14ac:dyDescent="0.25">
      <c r="AE48569" s="34"/>
      <c r="AF48569" s="34"/>
    </row>
    <row r="48577" spans="31:32" x14ac:dyDescent="0.25">
      <c r="AE48577" s="36"/>
      <c r="AF48577" s="36"/>
    </row>
    <row r="48673" spans="31:32" x14ac:dyDescent="0.25">
      <c r="AE48673" s="34"/>
      <c r="AF48673" s="34"/>
    </row>
    <row r="48681" spans="31:32" x14ac:dyDescent="0.25">
      <c r="AE48681" s="36"/>
      <c r="AF48681" s="36"/>
    </row>
    <row r="48777" spans="31:32" x14ac:dyDescent="0.25">
      <c r="AE48777" s="34"/>
      <c r="AF48777" s="34"/>
    </row>
    <row r="48785" spans="31:32" x14ac:dyDescent="0.25">
      <c r="AE48785" s="36"/>
      <c r="AF48785" s="36"/>
    </row>
    <row r="48881" spans="31:32" x14ac:dyDescent="0.25">
      <c r="AE48881" s="34"/>
      <c r="AF48881" s="34"/>
    </row>
    <row r="48889" spans="31:32" x14ac:dyDescent="0.25">
      <c r="AE48889" s="36"/>
      <c r="AF48889" s="36"/>
    </row>
    <row r="48985" spans="31:32" x14ac:dyDescent="0.25">
      <c r="AE48985" s="34"/>
      <c r="AF48985" s="34"/>
    </row>
    <row r="48993" spans="31:32" x14ac:dyDescent="0.25">
      <c r="AE48993" s="36"/>
      <c r="AF48993" s="36"/>
    </row>
    <row r="49089" spans="31:32" x14ac:dyDescent="0.25">
      <c r="AE49089" s="34"/>
      <c r="AF49089" s="34"/>
    </row>
    <row r="49097" spans="31:32" x14ac:dyDescent="0.25">
      <c r="AE49097" s="36"/>
      <c r="AF49097" s="36"/>
    </row>
    <row r="49193" spans="31:32" x14ac:dyDescent="0.25">
      <c r="AE49193" s="34"/>
      <c r="AF49193" s="34"/>
    </row>
    <row r="49201" spans="31:32" x14ac:dyDescent="0.25">
      <c r="AE49201" s="36"/>
      <c r="AF49201" s="36"/>
    </row>
    <row r="49297" spans="31:32" x14ac:dyDescent="0.25">
      <c r="AE49297" s="34"/>
      <c r="AF49297" s="34"/>
    </row>
    <row r="49305" spans="31:32" x14ac:dyDescent="0.25">
      <c r="AE49305" s="36"/>
      <c r="AF49305" s="36"/>
    </row>
    <row r="49401" spans="31:32" x14ac:dyDescent="0.25">
      <c r="AE49401" s="34"/>
      <c r="AF49401" s="34"/>
    </row>
    <row r="49409" spans="31:32" x14ac:dyDescent="0.25">
      <c r="AE49409" s="36"/>
      <c r="AF49409" s="36"/>
    </row>
    <row r="49505" spans="31:32" x14ac:dyDescent="0.25">
      <c r="AE49505" s="34"/>
      <c r="AF49505" s="34"/>
    </row>
    <row r="49513" spans="31:32" x14ac:dyDescent="0.25">
      <c r="AE49513" s="36"/>
      <c r="AF49513" s="36"/>
    </row>
    <row r="49609" spans="31:32" x14ac:dyDescent="0.25">
      <c r="AE49609" s="34"/>
      <c r="AF49609" s="34"/>
    </row>
    <row r="49617" spans="31:32" x14ac:dyDescent="0.25">
      <c r="AE49617" s="36"/>
      <c r="AF49617" s="36"/>
    </row>
    <row r="49713" spans="31:32" x14ac:dyDescent="0.25">
      <c r="AE49713" s="34"/>
      <c r="AF49713" s="34"/>
    </row>
    <row r="49721" spans="31:32" x14ac:dyDescent="0.25">
      <c r="AE49721" s="36"/>
      <c r="AF49721" s="36"/>
    </row>
    <row r="49817" spans="31:32" x14ac:dyDescent="0.25">
      <c r="AE49817" s="34"/>
      <c r="AF49817" s="34"/>
    </row>
    <row r="49825" spans="31:32" x14ac:dyDescent="0.25">
      <c r="AE49825" s="36"/>
      <c r="AF49825" s="36"/>
    </row>
    <row r="49921" spans="31:32" x14ac:dyDescent="0.25">
      <c r="AE49921" s="34"/>
      <c r="AF49921" s="34"/>
    </row>
    <row r="49929" spans="31:32" x14ac:dyDescent="0.25">
      <c r="AE49929" s="36"/>
      <c r="AF49929" s="36"/>
    </row>
    <row r="50025" spans="31:32" x14ac:dyDescent="0.25">
      <c r="AE50025" s="34"/>
      <c r="AF50025" s="34"/>
    </row>
    <row r="50033" spans="31:32" x14ac:dyDescent="0.25">
      <c r="AE50033" s="36"/>
      <c r="AF50033" s="36"/>
    </row>
    <row r="50129" spans="31:32" x14ac:dyDescent="0.25">
      <c r="AE50129" s="34"/>
      <c r="AF50129" s="34"/>
    </row>
    <row r="50137" spans="31:32" x14ac:dyDescent="0.25">
      <c r="AE50137" s="36"/>
      <c r="AF50137" s="36"/>
    </row>
    <row r="50233" spans="31:32" x14ac:dyDescent="0.25">
      <c r="AE50233" s="34"/>
      <c r="AF50233" s="34"/>
    </row>
    <row r="50241" spans="31:32" x14ac:dyDescent="0.25">
      <c r="AE50241" s="36"/>
      <c r="AF50241" s="36"/>
    </row>
    <row r="50337" spans="31:32" x14ac:dyDescent="0.25">
      <c r="AE50337" s="34"/>
      <c r="AF50337" s="34"/>
    </row>
    <row r="50345" spans="31:32" x14ac:dyDescent="0.25">
      <c r="AE50345" s="36"/>
      <c r="AF50345" s="36"/>
    </row>
    <row r="50441" spans="31:32" x14ac:dyDescent="0.25">
      <c r="AE50441" s="34"/>
      <c r="AF50441" s="34"/>
    </row>
    <row r="50449" spans="31:32" x14ac:dyDescent="0.25">
      <c r="AE50449" s="36"/>
      <c r="AF50449" s="36"/>
    </row>
    <row r="50545" spans="31:32" x14ac:dyDescent="0.25">
      <c r="AE50545" s="34"/>
      <c r="AF50545" s="34"/>
    </row>
    <row r="50553" spans="31:32" x14ac:dyDescent="0.25">
      <c r="AE50553" s="36"/>
      <c r="AF50553" s="36"/>
    </row>
    <row r="50649" spans="31:32" x14ac:dyDescent="0.25">
      <c r="AE50649" s="34"/>
      <c r="AF50649" s="34"/>
    </row>
    <row r="50657" spans="31:32" x14ac:dyDescent="0.25">
      <c r="AE50657" s="36"/>
      <c r="AF50657" s="36"/>
    </row>
    <row r="50753" spans="31:32" x14ac:dyDescent="0.25">
      <c r="AE50753" s="34"/>
      <c r="AF50753" s="34"/>
    </row>
    <row r="50761" spans="31:32" x14ac:dyDescent="0.25">
      <c r="AE50761" s="36"/>
      <c r="AF50761" s="36"/>
    </row>
    <row r="50857" spans="31:32" x14ac:dyDescent="0.25">
      <c r="AE50857" s="34"/>
      <c r="AF50857" s="34"/>
    </row>
    <row r="50865" spans="31:32" x14ac:dyDescent="0.25">
      <c r="AE50865" s="36"/>
      <c r="AF50865" s="36"/>
    </row>
    <row r="50961" spans="31:32" x14ac:dyDescent="0.25">
      <c r="AE50961" s="34"/>
      <c r="AF50961" s="34"/>
    </row>
    <row r="50969" spans="31:32" x14ac:dyDescent="0.25">
      <c r="AE50969" s="36"/>
      <c r="AF50969" s="36"/>
    </row>
    <row r="51065" spans="31:32" x14ac:dyDescent="0.25">
      <c r="AE51065" s="34"/>
      <c r="AF51065" s="34"/>
    </row>
    <row r="51073" spans="31:32" x14ac:dyDescent="0.25">
      <c r="AE51073" s="36"/>
      <c r="AF51073" s="36"/>
    </row>
    <row r="51169" spans="31:32" x14ac:dyDescent="0.25">
      <c r="AE51169" s="34"/>
      <c r="AF51169" s="34"/>
    </row>
    <row r="51177" spans="31:32" x14ac:dyDescent="0.25">
      <c r="AE51177" s="36"/>
      <c r="AF51177" s="36"/>
    </row>
    <row r="51273" spans="31:32" x14ac:dyDescent="0.25">
      <c r="AE51273" s="34"/>
      <c r="AF51273" s="34"/>
    </row>
    <row r="51281" spans="31:32" x14ac:dyDescent="0.25">
      <c r="AE51281" s="36"/>
      <c r="AF51281" s="36"/>
    </row>
    <row r="51377" spans="31:32" x14ac:dyDescent="0.25">
      <c r="AE51377" s="34"/>
      <c r="AF51377" s="34"/>
    </row>
    <row r="51385" spans="31:32" x14ac:dyDescent="0.25">
      <c r="AE51385" s="36"/>
      <c r="AF51385" s="36"/>
    </row>
    <row r="51481" spans="31:32" x14ac:dyDescent="0.25">
      <c r="AE51481" s="34"/>
      <c r="AF51481" s="34"/>
    </row>
    <row r="51489" spans="31:32" x14ac:dyDescent="0.25">
      <c r="AE51489" s="36"/>
      <c r="AF51489" s="36"/>
    </row>
    <row r="51585" spans="31:32" x14ac:dyDescent="0.25">
      <c r="AE51585" s="34"/>
      <c r="AF51585" s="34"/>
    </row>
    <row r="51593" spans="31:32" x14ac:dyDescent="0.25">
      <c r="AE51593" s="36"/>
      <c r="AF51593" s="36"/>
    </row>
    <row r="51689" spans="31:32" x14ac:dyDescent="0.25">
      <c r="AE51689" s="34"/>
      <c r="AF51689" s="34"/>
    </row>
    <row r="51697" spans="31:32" x14ac:dyDescent="0.25">
      <c r="AE51697" s="36"/>
      <c r="AF51697" s="36"/>
    </row>
    <row r="51793" spans="31:32" x14ac:dyDescent="0.25">
      <c r="AE51793" s="34"/>
      <c r="AF51793" s="34"/>
    </row>
    <row r="51801" spans="31:32" x14ac:dyDescent="0.25">
      <c r="AE51801" s="36"/>
      <c r="AF51801" s="36"/>
    </row>
    <row r="51897" spans="31:32" x14ac:dyDescent="0.25">
      <c r="AE51897" s="34"/>
      <c r="AF51897" s="34"/>
    </row>
    <row r="51905" spans="31:32" x14ac:dyDescent="0.25">
      <c r="AE51905" s="36"/>
      <c r="AF51905" s="36"/>
    </row>
    <row r="52001" spans="31:32" x14ac:dyDescent="0.25">
      <c r="AE52001" s="34"/>
      <c r="AF52001" s="34"/>
    </row>
    <row r="52009" spans="31:32" x14ac:dyDescent="0.25">
      <c r="AE52009" s="36"/>
      <c r="AF52009" s="36"/>
    </row>
    <row r="52105" spans="31:32" x14ac:dyDescent="0.25">
      <c r="AE52105" s="34"/>
      <c r="AF52105" s="34"/>
    </row>
    <row r="52113" spans="31:32" x14ac:dyDescent="0.25">
      <c r="AE52113" s="36"/>
      <c r="AF52113" s="36"/>
    </row>
    <row r="52209" spans="31:32" x14ac:dyDescent="0.25">
      <c r="AE52209" s="34"/>
      <c r="AF52209" s="34"/>
    </row>
    <row r="52217" spans="31:32" x14ac:dyDescent="0.25">
      <c r="AE52217" s="36"/>
      <c r="AF52217" s="36"/>
    </row>
    <row r="52313" spans="31:32" x14ac:dyDescent="0.25">
      <c r="AE52313" s="34"/>
      <c r="AF52313" s="34"/>
    </row>
    <row r="52321" spans="31:32" x14ac:dyDescent="0.25">
      <c r="AE52321" s="36"/>
      <c r="AF52321" s="36"/>
    </row>
    <row r="52417" spans="31:32" x14ac:dyDescent="0.25">
      <c r="AE52417" s="34"/>
      <c r="AF52417" s="34"/>
    </row>
    <row r="52425" spans="31:32" x14ac:dyDescent="0.25">
      <c r="AE52425" s="36"/>
      <c r="AF52425" s="36"/>
    </row>
    <row r="52521" spans="31:32" x14ac:dyDescent="0.25">
      <c r="AE52521" s="34"/>
      <c r="AF52521" s="34"/>
    </row>
    <row r="52529" spans="31:32" x14ac:dyDescent="0.25">
      <c r="AE52529" s="36"/>
      <c r="AF52529" s="36"/>
    </row>
    <row r="52625" spans="31:32" x14ac:dyDescent="0.25">
      <c r="AE52625" s="34"/>
      <c r="AF52625" s="34"/>
    </row>
    <row r="52633" spans="31:32" x14ac:dyDescent="0.25">
      <c r="AE52633" s="36"/>
      <c r="AF52633" s="36"/>
    </row>
    <row r="52729" spans="31:32" x14ac:dyDescent="0.25">
      <c r="AE52729" s="34"/>
      <c r="AF52729" s="34"/>
    </row>
    <row r="52737" spans="31:32" x14ac:dyDescent="0.25">
      <c r="AE52737" s="36"/>
      <c r="AF52737" s="36"/>
    </row>
    <row r="52833" spans="31:32" x14ac:dyDescent="0.25">
      <c r="AE52833" s="34"/>
      <c r="AF52833" s="34"/>
    </row>
    <row r="52841" spans="31:32" x14ac:dyDescent="0.25">
      <c r="AE52841" s="36"/>
      <c r="AF52841" s="36"/>
    </row>
    <row r="52937" spans="31:32" x14ac:dyDescent="0.25">
      <c r="AE52937" s="34"/>
      <c r="AF52937" s="34"/>
    </row>
    <row r="52945" spans="31:32" x14ac:dyDescent="0.25">
      <c r="AE52945" s="36"/>
      <c r="AF52945" s="36"/>
    </row>
    <row r="53041" spans="31:32" x14ac:dyDescent="0.25">
      <c r="AE53041" s="34"/>
      <c r="AF53041" s="34"/>
    </row>
    <row r="53049" spans="31:32" x14ac:dyDescent="0.25">
      <c r="AE53049" s="36"/>
      <c r="AF53049" s="36"/>
    </row>
    <row r="53145" spans="31:32" x14ac:dyDescent="0.25">
      <c r="AE53145" s="34"/>
      <c r="AF53145" s="34"/>
    </row>
    <row r="53153" spans="31:32" x14ac:dyDescent="0.25">
      <c r="AE53153" s="36"/>
      <c r="AF53153" s="36"/>
    </row>
    <row r="53249" spans="31:32" x14ac:dyDescent="0.25">
      <c r="AE53249" s="34"/>
      <c r="AF53249" s="34"/>
    </row>
    <row r="53257" spans="31:32" x14ac:dyDescent="0.25">
      <c r="AE53257" s="36"/>
      <c r="AF53257" s="36"/>
    </row>
    <row r="53353" spans="31:32" x14ac:dyDescent="0.25">
      <c r="AE53353" s="34"/>
      <c r="AF53353" s="34"/>
    </row>
    <row r="53361" spans="31:32" x14ac:dyDescent="0.25">
      <c r="AE53361" s="36"/>
      <c r="AF53361" s="36"/>
    </row>
    <row r="53457" spans="31:32" x14ac:dyDescent="0.25">
      <c r="AE53457" s="34"/>
      <c r="AF53457" s="34"/>
    </row>
    <row r="53465" spans="31:32" x14ac:dyDescent="0.25">
      <c r="AE53465" s="36"/>
      <c r="AF53465" s="36"/>
    </row>
    <row r="53561" spans="31:32" x14ac:dyDescent="0.25">
      <c r="AE53561" s="34"/>
      <c r="AF53561" s="34"/>
    </row>
    <row r="53569" spans="31:32" x14ac:dyDescent="0.25">
      <c r="AE53569" s="36"/>
      <c r="AF53569" s="36"/>
    </row>
    <row r="53665" spans="31:32" x14ac:dyDescent="0.25">
      <c r="AE53665" s="34"/>
      <c r="AF53665" s="34"/>
    </row>
    <row r="53673" spans="31:32" x14ac:dyDescent="0.25">
      <c r="AE53673" s="36"/>
      <c r="AF53673" s="36"/>
    </row>
    <row r="53769" spans="31:32" x14ac:dyDescent="0.25">
      <c r="AE53769" s="34"/>
      <c r="AF53769" s="34"/>
    </row>
    <row r="53777" spans="31:32" x14ac:dyDescent="0.25">
      <c r="AE53777" s="36"/>
      <c r="AF53777" s="36"/>
    </row>
    <row r="53873" spans="31:32" x14ac:dyDescent="0.25">
      <c r="AE53873" s="34"/>
      <c r="AF53873" s="34"/>
    </row>
    <row r="53881" spans="31:32" x14ac:dyDescent="0.25">
      <c r="AE53881" s="36"/>
      <c r="AF53881" s="36"/>
    </row>
    <row r="53977" spans="31:32" x14ac:dyDescent="0.25">
      <c r="AE53977" s="34"/>
      <c r="AF53977" s="34"/>
    </row>
    <row r="53985" spans="31:32" x14ac:dyDescent="0.25">
      <c r="AE53985" s="36"/>
      <c r="AF53985" s="36"/>
    </row>
    <row r="54081" spans="31:32" x14ac:dyDescent="0.25">
      <c r="AE54081" s="34"/>
      <c r="AF54081" s="34"/>
    </row>
    <row r="54089" spans="31:32" x14ac:dyDescent="0.25">
      <c r="AE54089" s="36"/>
      <c r="AF54089" s="36"/>
    </row>
    <row r="54185" spans="31:32" x14ac:dyDescent="0.25">
      <c r="AE54185" s="34"/>
      <c r="AF54185" s="34"/>
    </row>
    <row r="54193" spans="31:32" x14ac:dyDescent="0.25">
      <c r="AE54193" s="36"/>
      <c r="AF54193" s="36"/>
    </row>
    <row r="54289" spans="31:32" x14ac:dyDescent="0.25">
      <c r="AE54289" s="34"/>
      <c r="AF54289" s="34"/>
    </row>
    <row r="54297" spans="31:32" x14ac:dyDescent="0.25">
      <c r="AE54297" s="36"/>
      <c r="AF54297" s="36"/>
    </row>
    <row r="54393" spans="31:32" x14ac:dyDescent="0.25">
      <c r="AE54393" s="34"/>
      <c r="AF54393" s="34"/>
    </row>
    <row r="54401" spans="31:32" x14ac:dyDescent="0.25">
      <c r="AE54401" s="36"/>
      <c r="AF54401" s="36"/>
    </row>
    <row r="54497" spans="31:32" x14ac:dyDescent="0.25">
      <c r="AE54497" s="34"/>
      <c r="AF54497" s="34"/>
    </row>
    <row r="54505" spans="31:32" x14ac:dyDescent="0.25">
      <c r="AE54505" s="36"/>
      <c r="AF54505" s="36"/>
    </row>
    <row r="54601" spans="31:32" x14ac:dyDescent="0.25">
      <c r="AE54601" s="34"/>
      <c r="AF54601" s="34"/>
    </row>
    <row r="54609" spans="31:32" x14ac:dyDescent="0.25">
      <c r="AE54609" s="36"/>
      <c r="AF54609" s="36"/>
    </row>
    <row r="54705" spans="31:32" x14ac:dyDescent="0.25">
      <c r="AE54705" s="34"/>
      <c r="AF54705" s="34"/>
    </row>
    <row r="54713" spans="31:32" x14ac:dyDescent="0.25">
      <c r="AE54713" s="36"/>
      <c r="AF54713" s="36"/>
    </row>
    <row r="54809" spans="31:32" x14ac:dyDescent="0.25">
      <c r="AE54809" s="34"/>
      <c r="AF54809" s="34"/>
    </row>
    <row r="54817" spans="31:32" x14ac:dyDescent="0.25">
      <c r="AE54817" s="36"/>
      <c r="AF54817" s="36"/>
    </row>
    <row r="54913" spans="31:32" x14ac:dyDescent="0.25">
      <c r="AE54913" s="34"/>
      <c r="AF54913" s="34"/>
    </row>
    <row r="54921" spans="31:32" x14ac:dyDescent="0.25">
      <c r="AE54921" s="36"/>
      <c r="AF54921" s="36"/>
    </row>
    <row r="55017" spans="31:32" x14ac:dyDescent="0.25">
      <c r="AE55017" s="34"/>
      <c r="AF55017" s="34"/>
    </row>
    <row r="55025" spans="31:32" x14ac:dyDescent="0.25">
      <c r="AE55025" s="36"/>
      <c r="AF55025" s="36"/>
    </row>
    <row r="55121" spans="31:32" x14ac:dyDescent="0.25">
      <c r="AE55121" s="34"/>
      <c r="AF55121" s="34"/>
    </row>
    <row r="55129" spans="31:32" x14ac:dyDescent="0.25">
      <c r="AE55129" s="36"/>
      <c r="AF55129" s="36"/>
    </row>
    <row r="55225" spans="31:32" x14ac:dyDescent="0.25">
      <c r="AE55225" s="34"/>
      <c r="AF55225" s="34"/>
    </row>
    <row r="55233" spans="31:32" x14ac:dyDescent="0.25">
      <c r="AE55233" s="36"/>
      <c r="AF55233" s="36"/>
    </row>
    <row r="55329" spans="31:32" x14ac:dyDescent="0.25">
      <c r="AE55329" s="34"/>
      <c r="AF55329" s="34"/>
    </row>
    <row r="55337" spans="31:32" x14ac:dyDescent="0.25">
      <c r="AE55337" s="36"/>
      <c r="AF55337" s="36"/>
    </row>
    <row r="55433" spans="31:32" x14ac:dyDescent="0.25">
      <c r="AE55433" s="34"/>
      <c r="AF55433" s="34"/>
    </row>
    <row r="55441" spans="31:32" x14ac:dyDescent="0.25">
      <c r="AE55441" s="36"/>
      <c r="AF55441" s="36"/>
    </row>
    <row r="55537" spans="31:32" x14ac:dyDescent="0.25">
      <c r="AE55537" s="34"/>
      <c r="AF55537" s="34"/>
    </row>
    <row r="55545" spans="31:32" x14ac:dyDescent="0.25">
      <c r="AE55545" s="36"/>
      <c r="AF55545" s="36"/>
    </row>
    <row r="55641" spans="31:32" x14ac:dyDescent="0.25">
      <c r="AE55641" s="34"/>
      <c r="AF55641" s="34"/>
    </row>
    <row r="55649" spans="31:32" x14ac:dyDescent="0.25">
      <c r="AE55649" s="36"/>
      <c r="AF55649" s="36"/>
    </row>
    <row r="55745" spans="31:32" x14ac:dyDescent="0.25">
      <c r="AE55745" s="34"/>
      <c r="AF55745" s="34"/>
    </row>
    <row r="55753" spans="31:32" x14ac:dyDescent="0.25">
      <c r="AE55753" s="36"/>
      <c r="AF55753" s="36"/>
    </row>
    <row r="55849" spans="31:32" x14ac:dyDescent="0.25">
      <c r="AE55849" s="34"/>
      <c r="AF55849" s="34"/>
    </row>
    <row r="55857" spans="31:32" x14ac:dyDescent="0.25">
      <c r="AE55857" s="36"/>
      <c r="AF55857" s="36"/>
    </row>
    <row r="55953" spans="31:32" x14ac:dyDescent="0.25">
      <c r="AE55953" s="34"/>
      <c r="AF55953" s="34"/>
    </row>
    <row r="55961" spans="31:32" x14ac:dyDescent="0.25">
      <c r="AE55961" s="36"/>
      <c r="AF55961" s="36"/>
    </row>
    <row r="56057" spans="31:32" x14ac:dyDescent="0.25">
      <c r="AE56057" s="34"/>
      <c r="AF56057" s="34"/>
    </row>
    <row r="56065" spans="31:32" x14ac:dyDescent="0.25">
      <c r="AE56065" s="36"/>
      <c r="AF56065" s="36"/>
    </row>
    <row r="56161" spans="31:32" x14ac:dyDescent="0.25">
      <c r="AE56161" s="34"/>
      <c r="AF56161" s="34"/>
    </row>
    <row r="56169" spans="31:32" x14ac:dyDescent="0.25">
      <c r="AE56169" s="36"/>
      <c r="AF56169" s="36"/>
    </row>
    <row r="56265" spans="31:32" x14ac:dyDescent="0.25">
      <c r="AE56265" s="34"/>
      <c r="AF56265" s="34"/>
    </row>
    <row r="56273" spans="31:32" x14ac:dyDescent="0.25">
      <c r="AE56273" s="36"/>
      <c r="AF56273" s="36"/>
    </row>
    <row r="56369" spans="31:32" x14ac:dyDescent="0.25">
      <c r="AE56369" s="34"/>
      <c r="AF56369" s="34"/>
    </row>
    <row r="56377" spans="31:32" x14ac:dyDescent="0.25">
      <c r="AE56377" s="36"/>
      <c r="AF56377" s="36"/>
    </row>
    <row r="56473" spans="31:32" x14ac:dyDescent="0.25">
      <c r="AE56473" s="34"/>
      <c r="AF56473" s="34"/>
    </row>
    <row r="56481" spans="31:32" x14ac:dyDescent="0.25">
      <c r="AE56481" s="36"/>
      <c r="AF56481" s="36"/>
    </row>
    <row r="56577" spans="31:32" x14ac:dyDescent="0.25">
      <c r="AE56577" s="34"/>
      <c r="AF56577" s="34"/>
    </row>
    <row r="56585" spans="31:32" x14ac:dyDescent="0.25">
      <c r="AE56585" s="36"/>
      <c r="AF56585" s="36"/>
    </row>
    <row r="56681" spans="31:32" x14ac:dyDescent="0.25">
      <c r="AE56681" s="34"/>
      <c r="AF56681" s="34"/>
    </row>
    <row r="56689" spans="31:32" x14ac:dyDescent="0.25">
      <c r="AE56689" s="36"/>
      <c r="AF56689" s="36"/>
    </row>
    <row r="56785" spans="31:32" x14ac:dyDescent="0.25">
      <c r="AE56785" s="34"/>
      <c r="AF56785" s="34"/>
    </row>
    <row r="56793" spans="31:32" x14ac:dyDescent="0.25">
      <c r="AE56793" s="36"/>
      <c r="AF56793" s="36"/>
    </row>
    <row r="56889" spans="31:32" x14ac:dyDescent="0.25">
      <c r="AE56889" s="34"/>
      <c r="AF56889" s="34"/>
    </row>
    <row r="56897" spans="31:32" x14ac:dyDescent="0.25">
      <c r="AE56897" s="36"/>
      <c r="AF56897" s="36"/>
    </row>
    <row r="56993" spans="31:32" x14ac:dyDescent="0.25">
      <c r="AE56993" s="34"/>
      <c r="AF56993" s="34"/>
    </row>
    <row r="57001" spans="31:32" x14ac:dyDescent="0.25">
      <c r="AE57001" s="36"/>
      <c r="AF57001" s="36"/>
    </row>
    <row r="57097" spans="31:32" x14ac:dyDescent="0.25">
      <c r="AE57097" s="34"/>
      <c r="AF57097" s="34"/>
    </row>
    <row r="57105" spans="31:32" x14ac:dyDescent="0.25">
      <c r="AE57105" s="36"/>
      <c r="AF57105" s="36"/>
    </row>
    <row r="57201" spans="31:32" x14ac:dyDescent="0.25">
      <c r="AE57201" s="34"/>
      <c r="AF57201" s="34"/>
    </row>
    <row r="57209" spans="31:32" x14ac:dyDescent="0.25">
      <c r="AE57209" s="36"/>
      <c r="AF57209" s="36"/>
    </row>
    <row r="57305" spans="31:32" x14ac:dyDescent="0.25">
      <c r="AE57305" s="34"/>
      <c r="AF57305" s="34"/>
    </row>
    <row r="57313" spans="31:32" x14ac:dyDescent="0.25">
      <c r="AE57313" s="36"/>
      <c r="AF57313" s="36"/>
    </row>
    <row r="57409" spans="31:32" x14ac:dyDescent="0.25">
      <c r="AE57409" s="34"/>
      <c r="AF57409" s="34"/>
    </row>
    <row r="57417" spans="31:32" x14ac:dyDescent="0.25">
      <c r="AE57417" s="36"/>
      <c r="AF57417" s="36"/>
    </row>
    <row r="57513" spans="31:32" x14ac:dyDescent="0.25">
      <c r="AE57513" s="34"/>
      <c r="AF57513" s="34"/>
    </row>
    <row r="57521" spans="31:32" x14ac:dyDescent="0.25">
      <c r="AE57521" s="36"/>
      <c r="AF57521" s="36"/>
    </row>
    <row r="57617" spans="31:32" x14ac:dyDescent="0.25">
      <c r="AE57617" s="34"/>
      <c r="AF57617" s="34"/>
    </row>
    <row r="57625" spans="31:32" x14ac:dyDescent="0.25">
      <c r="AE57625" s="36"/>
      <c r="AF57625" s="36"/>
    </row>
    <row r="57721" spans="31:32" x14ac:dyDescent="0.25">
      <c r="AE57721" s="34"/>
      <c r="AF57721" s="34"/>
    </row>
    <row r="57729" spans="31:32" x14ac:dyDescent="0.25">
      <c r="AE57729" s="36"/>
      <c r="AF57729" s="36"/>
    </row>
    <row r="57825" spans="31:32" x14ac:dyDescent="0.25">
      <c r="AE57825" s="34"/>
      <c r="AF57825" s="34"/>
    </row>
    <row r="57833" spans="31:32" x14ac:dyDescent="0.25">
      <c r="AE57833" s="36"/>
      <c r="AF57833" s="36"/>
    </row>
    <row r="57929" spans="31:32" x14ac:dyDescent="0.25">
      <c r="AE57929" s="34"/>
      <c r="AF57929" s="34"/>
    </row>
    <row r="57937" spans="31:32" x14ac:dyDescent="0.25">
      <c r="AE57937" s="36"/>
      <c r="AF57937" s="36"/>
    </row>
    <row r="58033" spans="31:32" x14ac:dyDescent="0.25">
      <c r="AE58033" s="34"/>
      <c r="AF58033" s="34"/>
    </row>
    <row r="58041" spans="31:32" x14ac:dyDescent="0.25">
      <c r="AE58041" s="36"/>
      <c r="AF58041" s="36"/>
    </row>
    <row r="58137" spans="31:32" x14ac:dyDescent="0.25">
      <c r="AE58137" s="34"/>
      <c r="AF58137" s="34"/>
    </row>
    <row r="58145" spans="31:32" x14ac:dyDescent="0.25">
      <c r="AE58145" s="36"/>
      <c r="AF58145" s="36"/>
    </row>
    <row r="58241" spans="31:32" x14ac:dyDescent="0.25">
      <c r="AE58241" s="34"/>
      <c r="AF58241" s="34"/>
    </row>
    <row r="58249" spans="31:32" x14ac:dyDescent="0.25">
      <c r="AE58249" s="36"/>
      <c r="AF58249" s="36"/>
    </row>
    <row r="58345" spans="31:32" x14ac:dyDescent="0.25">
      <c r="AE58345" s="34"/>
      <c r="AF58345" s="34"/>
    </row>
    <row r="58353" spans="31:32" x14ac:dyDescent="0.25">
      <c r="AE58353" s="36"/>
      <c r="AF58353" s="36"/>
    </row>
    <row r="58449" spans="31:32" x14ac:dyDescent="0.25">
      <c r="AE58449" s="34"/>
      <c r="AF58449" s="34"/>
    </row>
    <row r="58457" spans="31:32" x14ac:dyDescent="0.25">
      <c r="AE58457" s="36"/>
      <c r="AF58457" s="36"/>
    </row>
    <row r="58553" spans="31:32" x14ac:dyDescent="0.25">
      <c r="AE58553" s="34"/>
      <c r="AF58553" s="34"/>
    </row>
    <row r="58561" spans="31:32" x14ac:dyDescent="0.25">
      <c r="AE58561" s="36"/>
      <c r="AF58561" s="36"/>
    </row>
    <row r="58657" spans="31:32" x14ac:dyDescent="0.25">
      <c r="AE58657" s="34"/>
      <c r="AF58657" s="34"/>
    </row>
    <row r="58665" spans="31:32" x14ac:dyDescent="0.25">
      <c r="AE58665" s="36"/>
      <c r="AF58665" s="36"/>
    </row>
    <row r="58761" spans="31:32" x14ac:dyDescent="0.25">
      <c r="AE58761" s="34"/>
      <c r="AF58761" s="34"/>
    </row>
    <row r="58769" spans="31:32" x14ac:dyDescent="0.25">
      <c r="AE58769" s="36"/>
      <c r="AF58769" s="36"/>
    </row>
    <row r="58865" spans="31:32" x14ac:dyDescent="0.25">
      <c r="AE58865" s="34"/>
      <c r="AF58865" s="34"/>
    </row>
    <row r="58873" spans="31:32" x14ac:dyDescent="0.25">
      <c r="AE58873" s="36"/>
      <c r="AF58873" s="36"/>
    </row>
    <row r="58969" spans="31:32" x14ac:dyDescent="0.25">
      <c r="AE58969" s="34"/>
      <c r="AF58969" s="34"/>
    </row>
    <row r="58977" spans="31:32" x14ac:dyDescent="0.25">
      <c r="AE58977" s="36"/>
      <c r="AF58977" s="36"/>
    </row>
    <row r="59073" spans="31:32" x14ac:dyDescent="0.25">
      <c r="AE59073" s="34"/>
      <c r="AF59073" s="34"/>
    </row>
    <row r="59081" spans="31:32" x14ac:dyDescent="0.25">
      <c r="AE59081" s="36"/>
      <c r="AF59081" s="36"/>
    </row>
    <row r="59177" spans="31:32" x14ac:dyDescent="0.25">
      <c r="AE59177" s="34"/>
      <c r="AF59177" s="34"/>
    </row>
    <row r="59185" spans="31:32" x14ac:dyDescent="0.25">
      <c r="AE59185" s="36"/>
      <c r="AF59185" s="36"/>
    </row>
    <row r="59281" spans="31:32" x14ac:dyDescent="0.25">
      <c r="AE59281" s="34"/>
      <c r="AF59281" s="34"/>
    </row>
    <row r="59289" spans="31:32" x14ac:dyDescent="0.25">
      <c r="AE59289" s="36"/>
      <c r="AF59289" s="36"/>
    </row>
    <row r="59385" spans="31:32" x14ac:dyDescent="0.25">
      <c r="AE59385" s="34"/>
      <c r="AF59385" s="34"/>
    </row>
    <row r="59393" spans="31:32" x14ac:dyDescent="0.25">
      <c r="AE59393" s="36"/>
      <c r="AF59393" s="36"/>
    </row>
    <row r="59489" spans="31:32" x14ac:dyDescent="0.25">
      <c r="AE59489" s="34"/>
      <c r="AF59489" s="34"/>
    </row>
    <row r="59497" spans="31:32" x14ac:dyDescent="0.25">
      <c r="AE59497" s="36"/>
      <c r="AF59497" s="36"/>
    </row>
    <row r="59593" spans="31:32" x14ac:dyDescent="0.25">
      <c r="AE59593" s="34"/>
      <c r="AF59593" s="34"/>
    </row>
    <row r="59601" spans="31:32" x14ac:dyDescent="0.25">
      <c r="AE59601" s="36"/>
      <c r="AF59601" s="36"/>
    </row>
    <row r="59697" spans="31:32" x14ac:dyDescent="0.25">
      <c r="AE59697" s="34"/>
      <c r="AF59697" s="34"/>
    </row>
    <row r="59705" spans="31:32" x14ac:dyDescent="0.25">
      <c r="AE59705" s="36"/>
      <c r="AF59705" s="36"/>
    </row>
    <row r="59801" spans="31:32" x14ac:dyDescent="0.25">
      <c r="AE59801" s="34"/>
      <c r="AF59801" s="34"/>
    </row>
    <row r="59809" spans="31:32" x14ac:dyDescent="0.25">
      <c r="AE59809" s="36"/>
      <c r="AF59809" s="36"/>
    </row>
    <row r="59905" spans="31:32" x14ac:dyDescent="0.25">
      <c r="AE59905" s="34"/>
      <c r="AF59905" s="34"/>
    </row>
    <row r="59913" spans="31:32" x14ac:dyDescent="0.25">
      <c r="AE59913" s="36"/>
      <c r="AF59913" s="36"/>
    </row>
    <row r="60009" spans="31:32" x14ac:dyDescent="0.25">
      <c r="AE60009" s="34"/>
      <c r="AF60009" s="34"/>
    </row>
    <row r="60017" spans="31:32" x14ac:dyDescent="0.25">
      <c r="AE60017" s="36"/>
      <c r="AF60017" s="36"/>
    </row>
    <row r="60113" spans="31:32" x14ac:dyDescent="0.25">
      <c r="AE60113" s="34"/>
      <c r="AF60113" s="34"/>
    </row>
    <row r="60121" spans="31:32" x14ac:dyDescent="0.25">
      <c r="AE60121" s="36"/>
      <c r="AF60121" s="36"/>
    </row>
    <row r="60217" spans="31:32" x14ac:dyDescent="0.25">
      <c r="AE60217" s="34"/>
      <c r="AF60217" s="34"/>
    </row>
    <row r="60225" spans="31:32" x14ac:dyDescent="0.25">
      <c r="AE60225" s="36"/>
      <c r="AF60225" s="36"/>
    </row>
    <row r="60321" spans="31:32" x14ac:dyDescent="0.25">
      <c r="AE60321" s="34"/>
      <c r="AF60321" s="34"/>
    </row>
    <row r="60329" spans="31:32" x14ac:dyDescent="0.25">
      <c r="AE60329" s="36"/>
      <c r="AF60329" s="36"/>
    </row>
    <row r="60425" spans="31:32" x14ac:dyDescent="0.25">
      <c r="AE60425" s="34"/>
      <c r="AF60425" s="34"/>
    </row>
    <row r="60433" spans="31:32" x14ac:dyDescent="0.25">
      <c r="AE60433" s="36"/>
      <c r="AF60433" s="36"/>
    </row>
    <row r="60529" spans="31:32" x14ac:dyDescent="0.25">
      <c r="AE60529" s="34"/>
      <c r="AF60529" s="34"/>
    </row>
    <row r="60537" spans="31:32" x14ac:dyDescent="0.25">
      <c r="AE60537" s="36"/>
      <c r="AF60537" s="36"/>
    </row>
    <row r="60633" spans="31:32" x14ac:dyDescent="0.25">
      <c r="AE60633" s="34"/>
      <c r="AF60633" s="34"/>
    </row>
    <row r="60641" spans="31:32" x14ac:dyDescent="0.25">
      <c r="AE60641" s="36"/>
      <c r="AF60641" s="36"/>
    </row>
    <row r="60737" spans="31:32" x14ac:dyDescent="0.25">
      <c r="AE60737" s="34"/>
      <c r="AF60737" s="34"/>
    </row>
    <row r="60745" spans="31:32" x14ac:dyDescent="0.25">
      <c r="AE60745" s="36"/>
      <c r="AF60745" s="36"/>
    </row>
    <row r="60841" spans="31:32" x14ac:dyDescent="0.25">
      <c r="AE60841" s="34"/>
      <c r="AF60841" s="34"/>
    </row>
    <row r="60849" spans="31:32" x14ac:dyDescent="0.25">
      <c r="AE60849" s="36"/>
      <c r="AF60849" s="36"/>
    </row>
    <row r="60945" spans="31:32" x14ac:dyDescent="0.25">
      <c r="AE60945" s="34"/>
      <c r="AF60945" s="34"/>
    </row>
    <row r="60953" spans="31:32" x14ac:dyDescent="0.25">
      <c r="AE60953" s="36"/>
      <c r="AF60953" s="36"/>
    </row>
    <row r="61049" spans="31:32" x14ac:dyDescent="0.25">
      <c r="AE61049" s="34"/>
      <c r="AF61049" s="34"/>
    </row>
    <row r="61057" spans="31:32" x14ac:dyDescent="0.25">
      <c r="AE61057" s="36"/>
      <c r="AF61057" s="36"/>
    </row>
    <row r="61153" spans="31:32" x14ac:dyDescent="0.25">
      <c r="AE61153" s="34"/>
      <c r="AF61153" s="34"/>
    </row>
    <row r="61161" spans="31:32" x14ac:dyDescent="0.25">
      <c r="AE61161" s="36"/>
      <c r="AF61161" s="36"/>
    </row>
    <row r="61257" spans="31:32" x14ac:dyDescent="0.25">
      <c r="AE61257" s="34"/>
      <c r="AF61257" s="34"/>
    </row>
    <row r="61265" spans="31:32" x14ac:dyDescent="0.25">
      <c r="AE61265" s="36"/>
      <c r="AF61265" s="36"/>
    </row>
    <row r="61361" spans="31:32" x14ac:dyDescent="0.25">
      <c r="AE61361" s="34"/>
      <c r="AF61361" s="34"/>
    </row>
    <row r="61369" spans="31:32" x14ac:dyDescent="0.25">
      <c r="AE61369" s="36"/>
      <c r="AF61369" s="36"/>
    </row>
    <row r="61465" spans="31:32" x14ac:dyDescent="0.25">
      <c r="AE61465" s="34"/>
      <c r="AF61465" s="34"/>
    </row>
    <row r="61473" spans="31:32" x14ac:dyDescent="0.25">
      <c r="AE61473" s="36"/>
      <c r="AF61473" s="36"/>
    </row>
    <row r="61569" spans="31:32" x14ac:dyDescent="0.25">
      <c r="AE61569" s="34"/>
      <c r="AF61569" s="34"/>
    </row>
    <row r="61577" spans="31:32" x14ac:dyDescent="0.25">
      <c r="AE61577" s="36"/>
      <c r="AF61577" s="36"/>
    </row>
    <row r="61673" spans="31:32" x14ac:dyDescent="0.25">
      <c r="AE61673" s="34"/>
      <c r="AF61673" s="34"/>
    </row>
    <row r="61681" spans="31:32" x14ac:dyDescent="0.25">
      <c r="AE61681" s="36"/>
      <c r="AF61681" s="36"/>
    </row>
    <row r="61777" spans="31:32" x14ac:dyDescent="0.25">
      <c r="AE61777" s="34"/>
      <c r="AF61777" s="34"/>
    </row>
    <row r="61785" spans="31:32" x14ac:dyDescent="0.25">
      <c r="AE61785" s="36"/>
      <c r="AF61785" s="36"/>
    </row>
    <row r="61881" spans="31:32" x14ac:dyDescent="0.25">
      <c r="AE61881" s="34"/>
      <c r="AF61881" s="34"/>
    </row>
    <row r="61889" spans="31:32" x14ac:dyDescent="0.25">
      <c r="AE61889" s="36"/>
      <c r="AF61889" s="36"/>
    </row>
    <row r="61985" spans="31:32" x14ac:dyDescent="0.25">
      <c r="AE61985" s="34"/>
      <c r="AF61985" s="34"/>
    </row>
    <row r="61993" spans="31:32" x14ac:dyDescent="0.25">
      <c r="AE61993" s="36"/>
      <c r="AF61993" s="36"/>
    </row>
    <row r="62089" spans="31:32" x14ac:dyDescent="0.25">
      <c r="AE62089" s="34"/>
      <c r="AF62089" s="34"/>
    </row>
    <row r="62097" spans="31:32" x14ac:dyDescent="0.25">
      <c r="AE62097" s="36"/>
      <c r="AF62097" s="36"/>
    </row>
    <row r="62193" spans="31:32" x14ac:dyDescent="0.25">
      <c r="AE62193" s="34"/>
      <c r="AF62193" s="34"/>
    </row>
    <row r="62201" spans="31:32" x14ac:dyDescent="0.25">
      <c r="AE62201" s="36"/>
      <c r="AF62201" s="36"/>
    </row>
    <row r="62297" spans="31:32" x14ac:dyDescent="0.25">
      <c r="AE62297" s="34"/>
      <c r="AF62297" s="34"/>
    </row>
    <row r="62305" spans="31:32" x14ac:dyDescent="0.25">
      <c r="AE62305" s="36"/>
      <c r="AF62305" s="36"/>
    </row>
    <row r="62401" spans="31:32" x14ac:dyDescent="0.25">
      <c r="AE62401" s="34"/>
      <c r="AF62401" s="34"/>
    </row>
    <row r="62409" spans="31:32" x14ac:dyDescent="0.25">
      <c r="AE62409" s="36"/>
      <c r="AF62409" s="36"/>
    </row>
    <row r="62505" spans="31:32" x14ac:dyDescent="0.25">
      <c r="AE62505" s="34"/>
      <c r="AF62505" s="34"/>
    </row>
    <row r="62513" spans="31:32" x14ac:dyDescent="0.25">
      <c r="AE62513" s="36"/>
      <c r="AF62513" s="36"/>
    </row>
    <row r="62609" spans="31:32" x14ac:dyDescent="0.25">
      <c r="AE62609" s="34"/>
      <c r="AF62609" s="34"/>
    </row>
    <row r="62617" spans="31:32" x14ac:dyDescent="0.25">
      <c r="AE62617" s="36"/>
      <c r="AF62617" s="36"/>
    </row>
    <row r="62713" spans="31:32" x14ac:dyDescent="0.25">
      <c r="AE62713" s="34"/>
      <c r="AF62713" s="34"/>
    </row>
    <row r="62721" spans="31:32" x14ac:dyDescent="0.25">
      <c r="AE62721" s="36"/>
      <c r="AF62721" s="36"/>
    </row>
    <row r="62817" spans="31:32" x14ac:dyDescent="0.25">
      <c r="AE62817" s="34"/>
      <c r="AF62817" s="34"/>
    </row>
    <row r="62825" spans="31:32" x14ac:dyDescent="0.25">
      <c r="AE62825" s="36"/>
      <c r="AF62825" s="36"/>
    </row>
    <row r="62921" spans="31:32" x14ac:dyDescent="0.25">
      <c r="AE62921" s="34"/>
      <c r="AF62921" s="34"/>
    </row>
    <row r="62929" spans="31:32" x14ac:dyDescent="0.25">
      <c r="AE62929" s="36"/>
      <c r="AF62929" s="36"/>
    </row>
    <row r="63025" spans="31:32" x14ac:dyDescent="0.25">
      <c r="AE63025" s="34"/>
      <c r="AF63025" s="34"/>
    </row>
    <row r="63033" spans="31:32" x14ac:dyDescent="0.25">
      <c r="AE63033" s="36"/>
      <c r="AF63033" s="36"/>
    </row>
    <row r="63129" spans="31:32" x14ac:dyDescent="0.25">
      <c r="AE63129" s="34"/>
      <c r="AF63129" s="34"/>
    </row>
    <row r="63137" spans="31:32" x14ac:dyDescent="0.25">
      <c r="AE63137" s="36"/>
      <c r="AF63137" s="36"/>
    </row>
    <row r="63233" spans="31:32" x14ac:dyDescent="0.25">
      <c r="AE63233" s="34"/>
      <c r="AF63233" s="34"/>
    </row>
    <row r="63241" spans="31:32" x14ac:dyDescent="0.25">
      <c r="AE63241" s="36"/>
      <c r="AF63241" s="36"/>
    </row>
    <row r="63337" spans="31:32" x14ac:dyDescent="0.25">
      <c r="AE63337" s="34"/>
      <c r="AF63337" s="34"/>
    </row>
    <row r="63345" spans="31:32" x14ac:dyDescent="0.25">
      <c r="AE63345" s="36"/>
      <c r="AF63345" s="36"/>
    </row>
    <row r="63441" spans="31:32" x14ac:dyDescent="0.25">
      <c r="AE63441" s="34"/>
      <c r="AF63441" s="34"/>
    </row>
    <row r="63449" spans="31:32" x14ac:dyDescent="0.25">
      <c r="AE63449" s="36"/>
      <c r="AF63449" s="36"/>
    </row>
    <row r="63545" spans="31:32" x14ac:dyDescent="0.25">
      <c r="AE63545" s="34"/>
      <c r="AF63545" s="34"/>
    </row>
    <row r="63553" spans="31:32" x14ac:dyDescent="0.25">
      <c r="AE63553" s="36"/>
      <c r="AF63553" s="36"/>
    </row>
    <row r="63649" spans="31:32" x14ac:dyDescent="0.25">
      <c r="AE63649" s="34"/>
      <c r="AF63649" s="34"/>
    </row>
    <row r="63657" spans="31:32" x14ac:dyDescent="0.25">
      <c r="AE63657" s="36"/>
      <c r="AF63657" s="36"/>
    </row>
    <row r="63753" spans="31:32" x14ac:dyDescent="0.25">
      <c r="AE63753" s="34"/>
      <c r="AF63753" s="34"/>
    </row>
    <row r="63761" spans="31:32" x14ac:dyDescent="0.25">
      <c r="AE63761" s="36"/>
      <c r="AF63761" s="36"/>
    </row>
    <row r="63857" spans="31:32" x14ac:dyDescent="0.25">
      <c r="AE63857" s="34"/>
      <c r="AF63857" s="34"/>
    </row>
    <row r="63865" spans="31:32" x14ac:dyDescent="0.25">
      <c r="AE63865" s="36"/>
      <c r="AF63865" s="36"/>
    </row>
    <row r="63961" spans="31:32" x14ac:dyDescent="0.25">
      <c r="AE63961" s="34"/>
      <c r="AF63961" s="34"/>
    </row>
    <row r="63969" spans="31:32" x14ac:dyDescent="0.25">
      <c r="AE63969" s="36"/>
      <c r="AF63969" s="36"/>
    </row>
    <row r="64065" spans="31:32" x14ac:dyDescent="0.25">
      <c r="AE64065" s="34"/>
      <c r="AF64065" s="34"/>
    </row>
    <row r="64073" spans="31:32" x14ac:dyDescent="0.25">
      <c r="AE64073" s="36"/>
      <c r="AF64073" s="36"/>
    </row>
    <row r="64169" spans="31:32" x14ac:dyDescent="0.25">
      <c r="AE64169" s="34"/>
      <c r="AF64169" s="34"/>
    </row>
    <row r="64177" spans="31:32" x14ac:dyDescent="0.25">
      <c r="AE64177" s="36"/>
      <c r="AF64177" s="36"/>
    </row>
    <row r="64273" spans="31:32" x14ac:dyDescent="0.25">
      <c r="AE64273" s="34"/>
      <c r="AF64273" s="34"/>
    </row>
    <row r="64281" spans="31:32" x14ac:dyDescent="0.25">
      <c r="AE64281" s="36"/>
      <c r="AF64281" s="36"/>
    </row>
    <row r="64377" spans="31:32" x14ac:dyDescent="0.25">
      <c r="AE64377" s="34"/>
      <c r="AF64377" s="34"/>
    </row>
    <row r="64385" spans="31:32" x14ac:dyDescent="0.25">
      <c r="AE64385" s="36"/>
      <c r="AF64385" s="36"/>
    </row>
    <row r="64481" spans="31:32" x14ac:dyDescent="0.25">
      <c r="AE64481" s="34"/>
      <c r="AF64481" s="34"/>
    </row>
    <row r="64489" spans="31:32" x14ac:dyDescent="0.25">
      <c r="AE64489" s="36"/>
      <c r="AF64489" s="36"/>
    </row>
    <row r="64585" spans="31:32" x14ac:dyDescent="0.25">
      <c r="AE64585" s="34"/>
      <c r="AF64585" s="34"/>
    </row>
    <row r="64593" spans="31:32" x14ac:dyDescent="0.25">
      <c r="AE64593" s="36"/>
      <c r="AF64593" s="36"/>
    </row>
    <row r="64689" spans="31:32" x14ac:dyDescent="0.25">
      <c r="AE64689" s="34"/>
      <c r="AF64689" s="34"/>
    </row>
    <row r="64697" spans="31:32" x14ac:dyDescent="0.25">
      <c r="AE64697" s="36"/>
      <c r="AF64697" s="36"/>
    </row>
    <row r="64793" spans="31:32" x14ac:dyDescent="0.25">
      <c r="AE64793" s="34"/>
      <c r="AF64793" s="34"/>
    </row>
    <row r="64801" spans="31:32" x14ac:dyDescent="0.25">
      <c r="AE64801" s="36"/>
      <c r="AF64801" s="36"/>
    </row>
    <row r="64897" spans="31:32" x14ac:dyDescent="0.25">
      <c r="AE64897" s="34"/>
      <c r="AF64897" s="34"/>
    </row>
    <row r="64905" spans="31:32" x14ac:dyDescent="0.25">
      <c r="AE64905" s="36"/>
      <c r="AF64905" s="36"/>
    </row>
    <row r="65001" spans="31:32" x14ac:dyDescent="0.25">
      <c r="AE65001" s="34"/>
      <c r="AF65001" s="34"/>
    </row>
    <row r="65009" spans="31:32" x14ac:dyDescent="0.25">
      <c r="AE65009" s="36"/>
      <c r="AF65009" s="36"/>
    </row>
    <row r="65105" spans="31:32" x14ac:dyDescent="0.25">
      <c r="AE65105" s="34"/>
      <c r="AF65105" s="34"/>
    </row>
    <row r="65113" spans="31:32" x14ac:dyDescent="0.25">
      <c r="AE65113" s="36"/>
      <c r="AF65113" s="36"/>
    </row>
    <row r="65209" spans="31:32" x14ac:dyDescent="0.25">
      <c r="AE65209" s="34"/>
      <c r="AF65209" s="34"/>
    </row>
    <row r="65217" spans="31:32" x14ac:dyDescent="0.25">
      <c r="AE65217" s="36"/>
      <c r="AF65217" s="36"/>
    </row>
    <row r="65313" spans="31:32" x14ac:dyDescent="0.25">
      <c r="AE65313" s="34"/>
      <c r="AF65313" s="34"/>
    </row>
    <row r="65321" spans="31:32" x14ac:dyDescent="0.25">
      <c r="AE65321" s="36"/>
      <c r="AF65321" s="36"/>
    </row>
    <row r="65417" spans="31:32" x14ac:dyDescent="0.25">
      <c r="AE65417" s="34"/>
      <c r="AF65417" s="34"/>
    </row>
    <row r="65425" spans="31:32" x14ac:dyDescent="0.25">
      <c r="AE65425" s="36"/>
      <c r="AF65425" s="36"/>
    </row>
    <row r="65521" spans="31:32" x14ac:dyDescent="0.25">
      <c r="AE65521" s="34"/>
      <c r="AF65521" s="34"/>
    </row>
    <row r="65529" spans="31:32" x14ac:dyDescent="0.25">
      <c r="AE65529" s="36"/>
      <c r="AF65529" s="36"/>
    </row>
    <row r="65625" spans="31:32" x14ac:dyDescent="0.25">
      <c r="AE65625" s="34"/>
      <c r="AF65625" s="34"/>
    </row>
    <row r="65633" spans="31:32" x14ac:dyDescent="0.25">
      <c r="AE65633" s="36"/>
      <c r="AF65633" s="36"/>
    </row>
    <row r="65729" spans="31:32" x14ac:dyDescent="0.25">
      <c r="AE65729" s="34"/>
      <c r="AF65729" s="34"/>
    </row>
    <row r="65737" spans="31:32" x14ac:dyDescent="0.25">
      <c r="AE65737" s="36"/>
      <c r="AF65737" s="36"/>
    </row>
    <row r="65833" spans="31:32" x14ac:dyDescent="0.25">
      <c r="AE65833" s="34"/>
      <c r="AF65833" s="34"/>
    </row>
    <row r="65841" spans="31:32" x14ac:dyDescent="0.25">
      <c r="AE65841" s="36"/>
      <c r="AF65841" s="36"/>
    </row>
    <row r="65937" spans="31:32" x14ac:dyDescent="0.25">
      <c r="AE65937" s="34"/>
      <c r="AF65937" s="34"/>
    </row>
    <row r="65945" spans="31:32" x14ac:dyDescent="0.25">
      <c r="AE65945" s="36"/>
      <c r="AF65945" s="36"/>
    </row>
    <row r="66041" spans="31:32" x14ac:dyDescent="0.25">
      <c r="AE66041" s="34"/>
      <c r="AF66041" s="34"/>
    </row>
    <row r="66049" spans="31:32" x14ac:dyDescent="0.25">
      <c r="AE66049" s="36"/>
      <c r="AF66049" s="36"/>
    </row>
    <row r="66145" spans="31:32" x14ac:dyDescent="0.25">
      <c r="AE66145" s="34"/>
      <c r="AF66145" s="34"/>
    </row>
    <row r="66153" spans="31:32" x14ac:dyDescent="0.25">
      <c r="AE66153" s="36"/>
      <c r="AF66153" s="36"/>
    </row>
    <row r="66249" spans="31:32" x14ac:dyDescent="0.25">
      <c r="AE66249" s="34"/>
      <c r="AF66249" s="34"/>
    </row>
    <row r="66257" spans="31:32" x14ac:dyDescent="0.25">
      <c r="AE66257" s="36"/>
      <c r="AF66257" s="36"/>
    </row>
    <row r="66353" spans="31:32" x14ac:dyDescent="0.25">
      <c r="AE66353" s="34"/>
      <c r="AF66353" s="34"/>
    </row>
    <row r="66361" spans="31:32" x14ac:dyDescent="0.25">
      <c r="AE66361" s="36"/>
      <c r="AF66361" s="36"/>
    </row>
    <row r="66457" spans="31:32" x14ac:dyDescent="0.25">
      <c r="AE66457" s="34"/>
      <c r="AF66457" s="34"/>
    </row>
    <row r="66465" spans="31:32" x14ac:dyDescent="0.25">
      <c r="AE66465" s="36"/>
      <c r="AF66465" s="36"/>
    </row>
    <row r="66561" spans="31:32" x14ac:dyDescent="0.25">
      <c r="AE66561" s="34"/>
      <c r="AF66561" s="34"/>
    </row>
    <row r="66569" spans="31:32" x14ac:dyDescent="0.25">
      <c r="AE66569" s="36"/>
      <c r="AF66569" s="36"/>
    </row>
    <row r="66665" spans="31:32" x14ac:dyDescent="0.25">
      <c r="AE66665" s="34"/>
      <c r="AF66665" s="34"/>
    </row>
    <row r="66673" spans="31:32" x14ac:dyDescent="0.25">
      <c r="AE66673" s="36"/>
      <c r="AF66673" s="36"/>
    </row>
    <row r="66769" spans="31:32" x14ac:dyDescent="0.25">
      <c r="AE66769" s="34"/>
      <c r="AF66769" s="34"/>
    </row>
    <row r="66777" spans="31:32" x14ac:dyDescent="0.25">
      <c r="AE66777" s="36"/>
      <c r="AF66777" s="36"/>
    </row>
    <row r="66873" spans="31:32" x14ac:dyDescent="0.25">
      <c r="AE66873" s="34"/>
      <c r="AF66873" s="34"/>
    </row>
    <row r="66881" spans="31:32" x14ac:dyDescent="0.25">
      <c r="AE66881" s="36"/>
      <c r="AF66881" s="36"/>
    </row>
    <row r="66977" spans="31:32" x14ac:dyDescent="0.25">
      <c r="AE66977" s="34"/>
      <c r="AF66977" s="34"/>
    </row>
    <row r="66985" spans="31:32" x14ac:dyDescent="0.25">
      <c r="AE66985" s="36"/>
      <c r="AF66985" s="36"/>
    </row>
    <row r="67081" spans="31:32" x14ac:dyDescent="0.25">
      <c r="AE67081" s="34"/>
      <c r="AF67081" s="34"/>
    </row>
    <row r="67089" spans="31:32" x14ac:dyDescent="0.25">
      <c r="AE67089" s="36"/>
      <c r="AF67089" s="36"/>
    </row>
    <row r="67185" spans="31:32" x14ac:dyDescent="0.25">
      <c r="AE67185" s="34"/>
      <c r="AF67185" s="34"/>
    </row>
    <row r="67193" spans="31:32" x14ac:dyDescent="0.25">
      <c r="AE67193" s="36"/>
      <c r="AF67193" s="36"/>
    </row>
    <row r="67289" spans="31:32" x14ac:dyDescent="0.25">
      <c r="AE67289" s="34"/>
      <c r="AF67289" s="34"/>
    </row>
    <row r="67297" spans="31:32" x14ac:dyDescent="0.25">
      <c r="AE67297" s="36"/>
      <c r="AF67297" s="36"/>
    </row>
    <row r="67393" spans="31:32" x14ac:dyDescent="0.25">
      <c r="AE67393" s="34"/>
      <c r="AF67393" s="34"/>
    </row>
    <row r="67401" spans="31:32" x14ac:dyDescent="0.25">
      <c r="AE67401" s="36"/>
      <c r="AF67401" s="36"/>
    </row>
    <row r="67497" spans="31:32" x14ac:dyDescent="0.25">
      <c r="AE67497" s="34"/>
      <c r="AF67497" s="34"/>
    </row>
    <row r="67505" spans="31:32" x14ac:dyDescent="0.25">
      <c r="AE67505" s="36"/>
      <c r="AF67505" s="36"/>
    </row>
    <row r="67601" spans="31:32" x14ac:dyDescent="0.25">
      <c r="AE67601" s="34"/>
      <c r="AF67601" s="34"/>
    </row>
    <row r="67609" spans="31:32" x14ac:dyDescent="0.25">
      <c r="AE67609" s="36"/>
      <c r="AF67609" s="36"/>
    </row>
    <row r="67705" spans="31:32" x14ac:dyDescent="0.25">
      <c r="AE67705" s="34"/>
      <c r="AF67705" s="34"/>
    </row>
    <row r="67713" spans="31:32" x14ac:dyDescent="0.25">
      <c r="AE67713" s="36"/>
      <c r="AF67713" s="36"/>
    </row>
    <row r="67809" spans="31:32" x14ac:dyDescent="0.25">
      <c r="AE67809" s="34"/>
      <c r="AF67809" s="34"/>
    </row>
    <row r="67817" spans="31:32" x14ac:dyDescent="0.25">
      <c r="AE67817" s="36"/>
      <c r="AF67817" s="36"/>
    </row>
    <row r="67913" spans="31:32" x14ac:dyDescent="0.25">
      <c r="AE67913" s="34"/>
      <c r="AF67913" s="34"/>
    </row>
    <row r="67921" spans="31:32" x14ac:dyDescent="0.25">
      <c r="AE67921" s="36"/>
      <c r="AF67921" s="36"/>
    </row>
    <row r="68017" spans="31:32" x14ac:dyDescent="0.25">
      <c r="AE68017" s="34"/>
      <c r="AF68017" s="34"/>
    </row>
    <row r="68025" spans="31:32" x14ac:dyDescent="0.25">
      <c r="AE68025" s="36"/>
      <c r="AF68025" s="36"/>
    </row>
    <row r="68121" spans="31:32" x14ac:dyDescent="0.25">
      <c r="AE68121" s="34"/>
      <c r="AF68121" s="34"/>
    </row>
    <row r="68129" spans="31:32" x14ac:dyDescent="0.25">
      <c r="AE68129" s="36"/>
      <c r="AF68129" s="36"/>
    </row>
    <row r="68225" spans="31:32" x14ac:dyDescent="0.25">
      <c r="AE68225" s="34"/>
      <c r="AF68225" s="34"/>
    </row>
    <row r="68233" spans="31:32" x14ac:dyDescent="0.25">
      <c r="AE68233" s="36"/>
      <c r="AF68233" s="36"/>
    </row>
    <row r="68329" spans="31:32" x14ac:dyDescent="0.25">
      <c r="AE68329" s="34"/>
      <c r="AF68329" s="34"/>
    </row>
    <row r="68337" spans="31:32" x14ac:dyDescent="0.25">
      <c r="AE68337" s="36"/>
      <c r="AF68337" s="36"/>
    </row>
    <row r="68433" spans="31:32" x14ac:dyDescent="0.25">
      <c r="AE68433" s="34"/>
      <c r="AF68433" s="34"/>
    </row>
    <row r="68441" spans="31:32" x14ac:dyDescent="0.25">
      <c r="AE68441" s="36"/>
      <c r="AF68441" s="36"/>
    </row>
    <row r="68537" spans="31:32" x14ac:dyDescent="0.25">
      <c r="AE68537" s="34"/>
      <c r="AF68537" s="34"/>
    </row>
    <row r="68545" spans="31:32" x14ac:dyDescent="0.25">
      <c r="AE68545" s="36"/>
      <c r="AF68545" s="36"/>
    </row>
    <row r="68641" spans="31:32" x14ac:dyDescent="0.25">
      <c r="AE68641" s="34"/>
      <c r="AF68641" s="34"/>
    </row>
    <row r="68649" spans="31:32" x14ac:dyDescent="0.25">
      <c r="AE68649" s="36"/>
      <c r="AF68649" s="36"/>
    </row>
    <row r="68745" spans="31:32" x14ac:dyDescent="0.25">
      <c r="AE68745" s="34"/>
      <c r="AF68745" s="34"/>
    </row>
    <row r="68753" spans="31:32" x14ac:dyDescent="0.25">
      <c r="AE68753" s="36"/>
      <c r="AF68753" s="36"/>
    </row>
    <row r="68849" spans="31:32" x14ac:dyDescent="0.25">
      <c r="AE68849" s="34"/>
      <c r="AF68849" s="34"/>
    </row>
    <row r="68857" spans="31:32" x14ac:dyDescent="0.25">
      <c r="AE68857" s="36"/>
      <c r="AF68857" s="36"/>
    </row>
    <row r="68953" spans="31:32" x14ac:dyDescent="0.25">
      <c r="AE68953" s="34"/>
      <c r="AF68953" s="34"/>
    </row>
    <row r="68961" spans="31:32" x14ac:dyDescent="0.25">
      <c r="AE68961" s="36"/>
      <c r="AF68961" s="36"/>
    </row>
    <row r="69057" spans="31:32" x14ac:dyDescent="0.25">
      <c r="AE69057" s="34"/>
      <c r="AF69057" s="34"/>
    </row>
    <row r="69065" spans="31:32" x14ac:dyDescent="0.25">
      <c r="AE69065" s="36"/>
      <c r="AF69065" s="36"/>
    </row>
    <row r="69161" spans="31:32" x14ac:dyDescent="0.25">
      <c r="AE69161" s="34"/>
      <c r="AF69161" s="34"/>
    </row>
    <row r="69169" spans="31:32" x14ac:dyDescent="0.25">
      <c r="AE69169" s="36"/>
      <c r="AF69169" s="36"/>
    </row>
    <row r="69265" spans="31:32" x14ac:dyDescent="0.25">
      <c r="AE69265" s="34"/>
      <c r="AF69265" s="34"/>
    </row>
    <row r="69273" spans="31:32" x14ac:dyDescent="0.25">
      <c r="AE69273" s="36"/>
      <c r="AF69273" s="36"/>
    </row>
    <row r="69369" spans="31:32" x14ac:dyDescent="0.25">
      <c r="AE69369" s="34"/>
      <c r="AF69369" s="34"/>
    </row>
    <row r="69377" spans="31:32" x14ac:dyDescent="0.25">
      <c r="AE69377" s="36"/>
      <c r="AF69377" s="36"/>
    </row>
    <row r="69473" spans="31:32" x14ac:dyDescent="0.25">
      <c r="AE69473" s="34"/>
      <c r="AF69473" s="34"/>
    </row>
    <row r="69481" spans="31:32" x14ac:dyDescent="0.25">
      <c r="AE69481" s="36"/>
      <c r="AF69481" s="36"/>
    </row>
    <row r="69577" spans="31:32" x14ac:dyDescent="0.25">
      <c r="AE69577" s="34"/>
      <c r="AF69577" s="34"/>
    </row>
    <row r="69585" spans="31:32" x14ac:dyDescent="0.25">
      <c r="AE69585" s="36"/>
      <c r="AF69585" s="36"/>
    </row>
    <row r="69681" spans="31:32" x14ac:dyDescent="0.25">
      <c r="AE69681" s="34"/>
      <c r="AF69681" s="34"/>
    </row>
    <row r="69689" spans="31:32" x14ac:dyDescent="0.25">
      <c r="AE69689" s="36"/>
      <c r="AF69689" s="36"/>
    </row>
    <row r="69785" spans="31:32" x14ac:dyDescent="0.25">
      <c r="AE69785" s="34"/>
      <c r="AF69785" s="34"/>
    </row>
    <row r="69793" spans="31:32" x14ac:dyDescent="0.25">
      <c r="AE69793" s="36"/>
      <c r="AF69793" s="36"/>
    </row>
    <row r="69889" spans="31:32" x14ac:dyDescent="0.25">
      <c r="AE69889" s="34"/>
      <c r="AF69889" s="34"/>
    </row>
    <row r="69897" spans="31:32" x14ac:dyDescent="0.25">
      <c r="AE69897" s="36"/>
      <c r="AF69897" s="36"/>
    </row>
    <row r="69993" spans="31:32" x14ac:dyDescent="0.25">
      <c r="AE69993" s="34"/>
      <c r="AF69993" s="34"/>
    </row>
    <row r="70001" spans="31:32" x14ac:dyDescent="0.25">
      <c r="AE70001" s="36"/>
      <c r="AF70001" s="36"/>
    </row>
    <row r="70097" spans="31:32" x14ac:dyDescent="0.25">
      <c r="AE70097" s="34"/>
      <c r="AF70097" s="34"/>
    </row>
    <row r="70105" spans="31:32" x14ac:dyDescent="0.25">
      <c r="AE70105" s="36"/>
      <c r="AF70105" s="36"/>
    </row>
    <row r="70201" spans="31:32" x14ac:dyDescent="0.25">
      <c r="AE70201" s="34"/>
      <c r="AF70201" s="34"/>
    </row>
    <row r="70209" spans="31:32" x14ac:dyDescent="0.25">
      <c r="AE70209" s="36"/>
      <c r="AF70209" s="36"/>
    </row>
    <row r="70305" spans="31:32" x14ac:dyDescent="0.25">
      <c r="AE70305" s="34"/>
      <c r="AF70305" s="34"/>
    </row>
    <row r="70313" spans="31:32" x14ac:dyDescent="0.25">
      <c r="AE70313" s="36"/>
      <c r="AF70313" s="36"/>
    </row>
    <row r="70409" spans="31:32" x14ac:dyDescent="0.25">
      <c r="AE70409" s="34"/>
      <c r="AF70409" s="34"/>
    </row>
    <row r="70417" spans="31:32" x14ac:dyDescent="0.25">
      <c r="AE70417" s="36"/>
      <c r="AF70417" s="36"/>
    </row>
    <row r="70513" spans="31:32" x14ac:dyDescent="0.25">
      <c r="AE70513" s="34"/>
      <c r="AF70513" s="34"/>
    </row>
    <row r="70521" spans="31:32" x14ac:dyDescent="0.25">
      <c r="AE70521" s="36"/>
      <c r="AF70521" s="36"/>
    </row>
    <row r="70617" spans="31:32" x14ac:dyDescent="0.25">
      <c r="AE70617" s="34"/>
      <c r="AF70617" s="34"/>
    </row>
    <row r="70625" spans="31:32" x14ac:dyDescent="0.25">
      <c r="AE70625" s="36"/>
      <c r="AF70625" s="36"/>
    </row>
    <row r="70721" spans="31:32" x14ac:dyDescent="0.25">
      <c r="AE70721" s="34"/>
      <c r="AF70721" s="34"/>
    </row>
    <row r="70729" spans="31:32" x14ac:dyDescent="0.25">
      <c r="AE70729" s="36"/>
      <c r="AF70729" s="36"/>
    </row>
    <row r="70825" spans="31:32" x14ac:dyDescent="0.25">
      <c r="AE70825" s="34"/>
      <c r="AF70825" s="34"/>
    </row>
    <row r="70833" spans="31:32" x14ac:dyDescent="0.25">
      <c r="AE70833" s="36"/>
      <c r="AF70833" s="36"/>
    </row>
    <row r="70929" spans="31:32" x14ac:dyDescent="0.25">
      <c r="AE70929" s="34"/>
      <c r="AF70929" s="34"/>
    </row>
    <row r="70937" spans="31:32" x14ac:dyDescent="0.25">
      <c r="AE70937" s="36"/>
      <c r="AF70937" s="36"/>
    </row>
    <row r="71033" spans="31:32" x14ac:dyDescent="0.25">
      <c r="AE71033" s="34"/>
      <c r="AF71033" s="34"/>
    </row>
    <row r="71041" spans="31:32" x14ac:dyDescent="0.25">
      <c r="AE71041" s="36"/>
      <c r="AF71041" s="36"/>
    </row>
    <row r="71137" spans="31:32" x14ac:dyDescent="0.25">
      <c r="AE71137" s="34"/>
      <c r="AF71137" s="34"/>
    </row>
    <row r="71145" spans="31:32" x14ac:dyDescent="0.25">
      <c r="AE71145" s="36"/>
      <c r="AF71145" s="36"/>
    </row>
    <row r="71241" spans="31:32" x14ac:dyDescent="0.25">
      <c r="AE71241" s="34"/>
      <c r="AF71241" s="34"/>
    </row>
    <row r="71249" spans="31:32" x14ac:dyDescent="0.25">
      <c r="AE71249" s="36"/>
      <c r="AF71249" s="36"/>
    </row>
    <row r="71345" spans="31:32" x14ac:dyDescent="0.25">
      <c r="AE71345" s="34"/>
      <c r="AF71345" s="34"/>
    </row>
    <row r="71353" spans="31:32" x14ac:dyDescent="0.25">
      <c r="AE71353" s="36"/>
      <c r="AF71353" s="36"/>
    </row>
    <row r="71449" spans="31:32" x14ac:dyDescent="0.25">
      <c r="AE71449" s="34"/>
      <c r="AF71449" s="34"/>
    </row>
    <row r="71457" spans="31:32" x14ac:dyDescent="0.25">
      <c r="AE71457" s="36"/>
      <c r="AF71457" s="36"/>
    </row>
    <row r="71553" spans="31:32" x14ac:dyDescent="0.25">
      <c r="AE71553" s="34"/>
      <c r="AF71553" s="34"/>
    </row>
    <row r="71561" spans="31:32" x14ac:dyDescent="0.25">
      <c r="AE71561" s="36"/>
      <c r="AF71561" s="36"/>
    </row>
    <row r="71657" spans="31:32" x14ac:dyDescent="0.25">
      <c r="AE71657" s="34"/>
      <c r="AF71657" s="34"/>
    </row>
    <row r="71665" spans="31:32" x14ac:dyDescent="0.25">
      <c r="AE71665" s="36"/>
      <c r="AF71665" s="36"/>
    </row>
    <row r="71761" spans="31:32" x14ac:dyDescent="0.25">
      <c r="AE71761" s="34"/>
      <c r="AF71761" s="34"/>
    </row>
    <row r="71769" spans="31:32" x14ac:dyDescent="0.25">
      <c r="AE71769" s="36"/>
      <c r="AF71769" s="36"/>
    </row>
    <row r="71865" spans="31:32" x14ac:dyDescent="0.25">
      <c r="AE71865" s="34"/>
      <c r="AF71865" s="34"/>
    </row>
    <row r="71873" spans="31:32" x14ac:dyDescent="0.25">
      <c r="AE71873" s="36"/>
      <c r="AF71873" s="36"/>
    </row>
    <row r="71969" spans="31:32" x14ac:dyDescent="0.25">
      <c r="AE71969" s="34"/>
      <c r="AF71969" s="34"/>
    </row>
    <row r="71977" spans="31:32" x14ac:dyDescent="0.25">
      <c r="AE71977" s="36"/>
      <c r="AF71977" s="36"/>
    </row>
    <row r="72073" spans="31:32" x14ac:dyDescent="0.25">
      <c r="AE72073" s="34"/>
      <c r="AF72073" s="34"/>
    </row>
    <row r="72081" spans="31:32" x14ac:dyDescent="0.25">
      <c r="AE72081" s="36"/>
      <c r="AF72081" s="36"/>
    </row>
    <row r="72177" spans="31:32" x14ac:dyDescent="0.25">
      <c r="AE72177" s="34"/>
      <c r="AF72177" s="34"/>
    </row>
    <row r="72185" spans="31:32" x14ac:dyDescent="0.25">
      <c r="AE72185" s="36"/>
      <c r="AF72185" s="36"/>
    </row>
    <row r="72281" spans="31:32" x14ac:dyDescent="0.25">
      <c r="AE72281" s="34"/>
      <c r="AF72281" s="34"/>
    </row>
    <row r="72289" spans="31:32" x14ac:dyDescent="0.25">
      <c r="AE72289" s="36"/>
      <c r="AF72289" s="36"/>
    </row>
    <row r="72385" spans="31:32" x14ac:dyDescent="0.25">
      <c r="AE72385" s="34"/>
      <c r="AF72385" s="34"/>
    </row>
    <row r="72393" spans="31:32" x14ac:dyDescent="0.25">
      <c r="AE72393" s="36"/>
      <c r="AF72393" s="36"/>
    </row>
    <row r="72489" spans="31:32" x14ac:dyDescent="0.25">
      <c r="AE72489" s="34"/>
      <c r="AF72489" s="34"/>
    </row>
    <row r="72497" spans="31:32" x14ac:dyDescent="0.25">
      <c r="AE72497" s="36"/>
      <c r="AF72497" s="36"/>
    </row>
    <row r="72593" spans="31:32" x14ac:dyDescent="0.25">
      <c r="AE72593" s="34"/>
      <c r="AF72593" s="34"/>
    </row>
    <row r="72601" spans="31:32" x14ac:dyDescent="0.25">
      <c r="AE72601" s="36"/>
      <c r="AF72601" s="36"/>
    </row>
    <row r="72697" spans="31:32" x14ac:dyDescent="0.25">
      <c r="AE72697" s="34"/>
      <c r="AF72697" s="34"/>
    </row>
    <row r="72705" spans="31:32" x14ac:dyDescent="0.25">
      <c r="AE72705" s="36"/>
      <c r="AF72705" s="36"/>
    </row>
    <row r="72801" spans="31:32" x14ac:dyDescent="0.25">
      <c r="AE72801" s="34"/>
      <c r="AF72801" s="34"/>
    </row>
    <row r="72809" spans="31:32" x14ac:dyDescent="0.25">
      <c r="AE72809" s="36"/>
      <c r="AF72809" s="36"/>
    </row>
    <row r="72905" spans="31:32" x14ac:dyDescent="0.25">
      <c r="AE72905" s="34"/>
      <c r="AF72905" s="34"/>
    </row>
    <row r="72913" spans="31:32" x14ac:dyDescent="0.25">
      <c r="AE72913" s="36"/>
      <c r="AF72913" s="36"/>
    </row>
    <row r="73009" spans="31:32" x14ac:dyDescent="0.25">
      <c r="AE73009" s="34"/>
      <c r="AF73009" s="34"/>
    </row>
    <row r="73017" spans="31:32" x14ac:dyDescent="0.25">
      <c r="AE73017" s="36"/>
      <c r="AF73017" s="36"/>
    </row>
    <row r="73113" spans="31:32" x14ac:dyDescent="0.25">
      <c r="AE73113" s="34"/>
      <c r="AF73113" s="34"/>
    </row>
    <row r="73121" spans="31:32" x14ac:dyDescent="0.25">
      <c r="AE73121" s="36"/>
      <c r="AF73121" s="36"/>
    </row>
    <row r="73217" spans="31:32" x14ac:dyDescent="0.25">
      <c r="AE73217" s="34"/>
      <c r="AF73217" s="34"/>
    </row>
    <row r="73225" spans="31:32" x14ac:dyDescent="0.25">
      <c r="AE73225" s="36"/>
      <c r="AF73225" s="36"/>
    </row>
    <row r="73321" spans="31:32" x14ac:dyDescent="0.25">
      <c r="AE73321" s="34"/>
      <c r="AF73321" s="34"/>
    </row>
    <row r="73329" spans="31:32" x14ac:dyDescent="0.25">
      <c r="AE73329" s="36"/>
      <c r="AF73329" s="36"/>
    </row>
    <row r="73425" spans="31:32" x14ac:dyDescent="0.25">
      <c r="AE73425" s="34"/>
      <c r="AF73425" s="34"/>
    </row>
    <row r="73433" spans="31:32" x14ac:dyDescent="0.25">
      <c r="AE73433" s="36"/>
      <c r="AF73433" s="36"/>
    </row>
    <row r="73529" spans="31:32" x14ac:dyDescent="0.25">
      <c r="AE73529" s="34"/>
      <c r="AF73529" s="34"/>
    </row>
    <row r="73537" spans="31:32" x14ac:dyDescent="0.25">
      <c r="AE73537" s="36"/>
      <c r="AF73537" s="36"/>
    </row>
    <row r="73633" spans="31:32" x14ac:dyDescent="0.25">
      <c r="AE73633" s="34"/>
      <c r="AF73633" s="34"/>
    </row>
    <row r="73641" spans="31:32" x14ac:dyDescent="0.25">
      <c r="AE73641" s="36"/>
      <c r="AF73641" s="36"/>
    </row>
    <row r="73737" spans="31:32" x14ac:dyDescent="0.25">
      <c r="AE73737" s="34"/>
      <c r="AF73737" s="34"/>
    </row>
    <row r="73745" spans="31:32" x14ac:dyDescent="0.25">
      <c r="AE73745" s="36"/>
      <c r="AF73745" s="36"/>
    </row>
    <row r="73841" spans="31:32" x14ac:dyDescent="0.25">
      <c r="AE73841" s="34"/>
      <c r="AF73841" s="34"/>
    </row>
    <row r="73849" spans="31:32" x14ac:dyDescent="0.25">
      <c r="AE73849" s="36"/>
      <c r="AF73849" s="36"/>
    </row>
    <row r="73945" spans="31:32" x14ac:dyDescent="0.25">
      <c r="AE73945" s="34"/>
      <c r="AF73945" s="34"/>
    </row>
    <row r="73953" spans="31:32" x14ac:dyDescent="0.25">
      <c r="AE73953" s="36"/>
      <c r="AF73953" s="36"/>
    </row>
    <row r="74049" spans="31:32" x14ac:dyDescent="0.25">
      <c r="AE74049" s="34"/>
      <c r="AF74049" s="34"/>
    </row>
    <row r="74057" spans="31:32" x14ac:dyDescent="0.25">
      <c r="AE74057" s="36"/>
      <c r="AF74057" s="36"/>
    </row>
    <row r="74153" spans="31:32" x14ac:dyDescent="0.25">
      <c r="AE74153" s="34"/>
      <c r="AF74153" s="34"/>
    </row>
    <row r="74161" spans="31:32" x14ac:dyDescent="0.25">
      <c r="AE74161" s="36"/>
      <c r="AF74161" s="36"/>
    </row>
    <row r="74257" spans="31:32" x14ac:dyDescent="0.25">
      <c r="AE74257" s="34"/>
      <c r="AF74257" s="34"/>
    </row>
    <row r="74265" spans="31:32" x14ac:dyDescent="0.25">
      <c r="AE74265" s="36"/>
      <c r="AF74265" s="36"/>
    </row>
    <row r="74361" spans="31:32" x14ac:dyDescent="0.25">
      <c r="AE74361" s="34"/>
      <c r="AF74361" s="34"/>
    </row>
    <row r="74369" spans="31:32" x14ac:dyDescent="0.25">
      <c r="AE74369" s="36"/>
      <c r="AF74369" s="36"/>
    </row>
    <row r="74465" spans="31:32" x14ac:dyDescent="0.25">
      <c r="AE74465" s="34"/>
      <c r="AF74465" s="34"/>
    </row>
    <row r="74473" spans="31:32" x14ac:dyDescent="0.25">
      <c r="AE74473" s="36"/>
      <c r="AF74473" s="36"/>
    </row>
    <row r="74569" spans="31:32" x14ac:dyDescent="0.25">
      <c r="AE74569" s="34"/>
      <c r="AF74569" s="34"/>
    </row>
    <row r="74577" spans="31:32" x14ac:dyDescent="0.25">
      <c r="AE74577" s="36"/>
      <c r="AF74577" s="36"/>
    </row>
    <row r="74673" spans="31:32" x14ac:dyDescent="0.25">
      <c r="AE74673" s="34"/>
      <c r="AF74673" s="34"/>
    </row>
    <row r="74681" spans="31:32" x14ac:dyDescent="0.25">
      <c r="AE74681" s="36"/>
      <c r="AF74681" s="36"/>
    </row>
    <row r="74777" spans="31:32" x14ac:dyDescent="0.25">
      <c r="AE74777" s="34"/>
      <c r="AF74777" s="34"/>
    </row>
    <row r="74785" spans="31:32" x14ac:dyDescent="0.25">
      <c r="AE74785" s="36"/>
      <c r="AF74785" s="36"/>
    </row>
    <row r="74881" spans="31:32" x14ac:dyDescent="0.25">
      <c r="AE74881" s="34"/>
      <c r="AF74881" s="34"/>
    </row>
    <row r="74889" spans="31:32" x14ac:dyDescent="0.25">
      <c r="AE74889" s="36"/>
      <c r="AF74889" s="36"/>
    </row>
    <row r="74985" spans="31:32" x14ac:dyDescent="0.25">
      <c r="AE74985" s="34"/>
      <c r="AF74985" s="34"/>
    </row>
    <row r="74993" spans="31:32" x14ac:dyDescent="0.25">
      <c r="AE74993" s="36"/>
      <c r="AF74993" s="36"/>
    </row>
    <row r="75089" spans="31:32" x14ac:dyDescent="0.25">
      <c r="AE75089" s="34"/>
      <c r="AF75089" s="34"/>
    </row>
    <row r="75097" spans="31:32" x14ac:dyDescent="0.25">
      <c r="AE75097" s="36"/>
      <c r="AF75097" s="36"/>
    </row>
    <row r="75193" spans="31:32" x14ac:dyDescent="0.25">
      <c r="AE75193" s="34"/>
      <c r="AF75193" s="34"/>
    </row>
    <row r="75201" spans="31:32" x14ac:dyDescent="0.25">
      <c r="AE75201" s="36"/>
      <c r="AF75201" s="36"/>
    </row>
    <row r="75297" spans="31:32" x14ac:dyDescent="0.25">
      <c r="AE75297" s="34"/>
      <c r="AF75297" s="34"/>
    </row>
    <row r="75305" spans="31:32" x14ac:dyDescent="0.25">
      <c r="AE75305" s="36"/>
      <c r="AF75305" s="36"/>
    </row>
    <row r="75401" spans="31:32" x14ac:dyDescent="0.25">
      <c r="AE75401" s="34"/>
      <c r="AF75401" s="34"/>
    </row>
    <row r="75409" spans="31:32" x14ac:dyDescent="0.25">
      <c r="AE75409" s="36"/>
      <c r="AF75409" s="36"/>
    </row>
    <row r="75505" spans="31:32" x14ac:dyDescent="0.25">
      <c r="AE75505" s="34"/>
      <c r="AF75505" s="34"/>
    </row>
    <row r="75513" spans="31:32" x14ac:dyDescent="0.25">
      <c r="AE75513" s="36"/>
      <c r="AF75513" s="36"/>
    </row>
    <row r="75609" spans="31:32" x14ac:dyDescent="0.25">
      <c r="AE75609" s="34"/>
      <c r="AF75609" s="34"/>
    </row>
    <row r="75617" spans="31:32" x14ac:dyDescent="0.25">
      <c r="AE75617" s="36"/>
      <c r="AF75617" s="36"/>
    </row>
    <row r="75713" spans="31:32" x14ac:dyDescent="0.25">
      <c r="AE75713" s="34"/>
      <c r="AF75713" s="34"/>
    </row>
    <row r="75721" spans="31:32" x14ac:dyDescent="0.25">
      <c r="AE75721" s="36"/>
      <c r="AF75721" s="36"/>
    </row>
    <row r="75817" spans="31:32" x14ac:dyDescent="0.25">
      <c r="AE75817" s="34"/>
      <c r="AF75817" s="34"/>
    </row>
    <row r="75825" spans="31:32" x14ac:dyDescent="0.25">
      <c r="AE75825" s="36"/>
      <c r="AF75825" s="36"/>
    </row>
    <row r="75921" spans="31:32" x14ac:dyDescent="0.25">
      <c r="AE75921" s="34"/>
      <c r="AF75921" s="34"/>
    </row>
    <row r="75929" spans="31:32" x14ac:dyDescent="0.25">
      <c r="AE75929" s="36"/>
      <c r="AF75929" s="36"/>
    </row>
    <row r="76025" spans="31:32" x14ac:dyDescent="0.25">
      <c r="AE76025" s="34"/>
      <c r="AF76025" s="34"/>
    </row>
    <row r="76033" spans="31:32" x14ac:dyDescent="0.25">
      <c r="AE76033" s="36"/>
      <c r="AF76033" s="36"/>
    </row>
    <row r="76129" spans="31:32" x14ac:dyDescent="0.25">
      <c r="AE76129" s="34"/>
      <c r="AF76129" s="34"/>
    </row>
    <row r="76137" spans="31:32" x14ac:dyDescent="0.25">
      <c r="AE76137" s="36"/>
      <c r="AF76137" s="36"/>
    </row>
    <row r="76233" spans="31:32" x14ac:dyDescent="0.25">
      <c r="AE76233" s="34"/>
      <c r="AF76233" s="34"/>
    </row>
    <row r="76241" spans="31:32" x14ac:dyDescent="0.25">
      <c r="AE76241" s="36"/>
      <c r="AF76241" s="36"/>
    </row>
    <row r="76337" spans="31:32" x14ac:dyDescent="0.25">
      <c r="AE76337" s="34"/>
      <c r="AF76337" s="34"/>
    </row>
    <row r="76345" spans="31:32" x14ac:dyDescent="0.25">
      <c r="AE76345" s="36"/>
      <c r="AF76345" s="36"/>
    </row>
    <row r="76441" spans="31:32" x14ac:dyDescent="0.25">
      <c r="AE76441" s="34"/>
      <c r="AF76441" s="34"/>
    </row>
    <row r="76449" spans="31:32" x14ac:dyDescent="0.25">
      <c r="AE76449" s="36"/>
      <c r="AF76449" s="36"/>
    </row>
    <row r="76545" spans="31:32" x14ac:dyDescent="0.25">
      <c r="AE76545" s="34"/>
      <c r="AF76545" s="34"/>
    </row>
    <row r="76553" spans="31:32" x14ac:dyDescent="0.25">
      <c r="AE76553" s="36"/>
      <c r="AF76553" s="36"/>
    </row>
    <row r="76649" spans="31:32" x14ac:dyDescent="0.25">
      <c r="AE76649" s="34"/>
      <c r="AF76649" s="34"/>
    </row>
    <row r="76657" spans="31:32" x14ac:dyDescent="0.25">
      <c r="AE76657" s="36"/>
      <c r="AF76657" s="36"/>
    </row>
    <row r="76753" spans="31:32" x14ac:dyDescent="0.25">
      <c r="AE76753" s="34"/>
      <c r="AF76753" s="34"/>
    </row>
    <row r="76761" spans="31:32" x14ac:dyDescent="0.25">
      <c r="AE76761" s="36"/>
      <c r="AF76761" s="36"/>
    </row>
    <row r="76857" spans="31:32" x14ac:dyDescent="0.25">
      <c r="AE76857" s="34"/>
      <c r="AF76857" s="34"/>
    </row>
    <row r="76865" spans="31:32" x14ac:dyDescent="0.25">
      <c r="AE76865" s="36"/>
      <c r="AF76865" s="36"/>
    </row>
    <row r="76961" spans="31:32" x14ac:dyDescent="0.25">
      <c r="AE76961" s="34"/>
      <c r="AF76961" s="34"/>
    </row>
    <row r="76969" spans="31:32" x14ac:dyDescent="0.25">
      <c r="AE76969" s="36"/>
      <c r="AF76969" s="36"/>
    </row>
    <row r="77065" spans="31:32" x14ac:dyDescent="0.25">
      <c r="AE77065" s="34"/>
      <c r="AF77065" s="34"/>
    </row>
    <row r="77073" spans="31:32" x14ac:dyDescent="0.25">
      <c r="AE77073" s="36"/>
      <c r="AF77073" s="36"/>
    </row>
    <row r="77169" spans="31:32" x14ac:dyDescent="0.25">
      <c r="AE77169" s="34"/>
      <c r="AF77169" s="34"/>
    </row>
    <row r="77177" spans="31:32" x14ac:dyDescent="0.25">
      <c r="AE77177" s="36"/>
      <c r="AF77177" s="36"/>
    </row>
    <row r="77273" spans="31:32" x14ac:dyDescent="0.25">
      <c r="AE77273" s="34"/>
      <c r="AF77273" s="34"/>
    </row>
    <row r="77281" spans="31:32" x14ac:dyDescent="0.25">
      <c r="AE77281" s="36"/>
      <c r="AF77281" s="36"/>
    </row>
    <row r="77377" spans="31:32" x14ac:dyDescent="0.25">
      <c r="AE77377" s="34"/>
      <c r="AF77377" s="34"/>
    </row>
    <row r="77385" spans="31:32" x14ac:dyDescent="0.25">
      <c r="AE77385" s="36"/>
      <c r="AF77385" s="36"/>
    </row>
    <row r="77481" spans="31:32" x14ac:dyDescent="0.25">
      <c r="AE77481" s="34"/>
      <c r="AF77481" s="34"/>
    </row>
    <row r="77489" spans="31:32" x14ac:dyDescent="0.25">
      <c r="AE77489" s="36"/>
      <c r="AF77489" s="36"/>
    </row>
    <row r="77585" spans="31:32" x14ac:dyDescent="0.25">
      <c r="AE77585" s="34"/>
      <c r="AF77585" s="34"/>
    </row>
    <row r="77593" spans="31:32" x14ac:dyDescent="0.25">
      <c r="AE77593" s="36"/>
      <c r="AF77593" s="36"/>
    </row>
    <row r="77689" spans="31:32" x14ac:dyDescent="0.25">
      <c r="AE77689" s="34"/>
      <c r="AF77689" s="34"/>
    </row>
    <row r="77697" spans="31:32" x14ac:dyDescent="0.25">
      <c r="AE77697" s="36"/>
      <c r="AF77697" s="36"/>
    </row>
    <row r="77793" spans="31:32" x14ac:dyDescent="0.25">
      <c r="AE77793" s="34"/>
      <c r="AF77793" s="34"/>
    </row>
    <row r="77801" spans="31:32" x14ac:dyDescent="0.25">
      <c r="AE77801" s="36"/>
      <c r="AF77801" s="36"/>
    </row>
    <row r="77897" spans="31:32" x14ac:dyDescent="0.25">
      <c r="AE77897" s="34"/>
      <c r="AF77897" s="34"/>
    </row>
    <row r="77905" spans="31:32" x14ac:dyDescent="0.25">
      <c r="AE77905" s="36"/>
      <c r="AF77905" s="36"/>
    </row>
    <row r="78001" spans="31:32" x14ac:dyDescent="0.25">
      <c r="AE78001" s="34"/>
      <c r="AF78001" s="34"/>
    </row>
    <row r="78009" spans="31:32" x14ac:dyDescent="0.25">
      <c r="AE78009" s="36"/>
      <c r="AF78009" s="36"/>
    </row>
    <row r="78105" spans="31:32" x14ac:dyDescent="0.25">
      <c r="AE78105" s="34"/>
      <c r="AF78105" s="34"/>
    </row>
    <row r="78113" spans="31:32" x14ac:dyDescent="0.25">
      <c r="AE78113" s="36"/>
      <c r="AF78113" s="36"/>
    </row>
    <row r="78209" spans="31:32" x14ac:dyDescent="0.25">
      <c r="AE78209" s="34"/>
      <c r="AF78209" s="34"/>
    </row>
    <row r="78217" spans="31:32" x14ac:dyDescent="0.25">
      <c r="AE78217" s="36"/>
      <c r="AF78217" s="36"/>
    </row>
    <row r="78313" spans="31:32" x14ac:dyDescent="0.25">
      <c r="AE78313" s="34"/>
      <c r="AF78313" s="34"/>
    </row>
    <row r="78321" spans="31:32" x14ac:dyDescent="0.25">
      <c r="AE78321" s="36"/>
      <c r="AF78321" s="36"/>
    </row>
    <row r="78417" spans="31:32" x14ac:dyDescent="0.25">
      <c r="AE78417" s="34"/>
      <c r="AF78417" s="34"/>
    </row>
    <row r="78425" spans="31:32" x14ac:dyDescent="0.25">
      <c r="AE78425" s="36"/>
      <c r="AF78425" s="36"/>
    </row>
    <row r="78521" spans="31:32" x14ac:dyDescent="0.25">
      <c r="AE78521" s="34"/>
      <c r="AF78521" s="34"/>
    </row>
    <row r="78529" spans="31:32" x14ac:dyDescent="0.25">
      <c r="AE78529" s="36"/>
      <c r="AF78529" s="36"/>
    </row>
    <row r="78625" spans="31:32" x14ac:dyDescent="0.25">
      <c r="AE78625" s="34"/>
      <c r="AF78625" s="34"/>
    </row>
    <row r="78633" spans="31:32" x14ac:dyDescent="0.25">
      <c r="AE78633" s="36"/>
      <c r="AF78633" s="36"/>
    </row>
    <row r="78729" spans="31:32" x14ac:dyDescent="0.25">
      <c r="AE78729" s="34"/>
      <c r="AF78729" s="34"/>
    </row>
    <row r="78737" spans="31:32" x14ac:dyDescent="0.25">
      <c r="AE78737" s="36"/>
      <c r="AF78737" s="36"/>
    </row>
    <row r="78833" spans="31:32" x14ac:dyDescent="0.25">
      <c r="AE78833" s="34"/>
      <c r="AF78833" s="34"/>
    </row>
    <row r="78841" spans="31:32" x14ac:dyDescent="0.25">
      <c r="AE78841" s="36"/>
      <c r="AF78841" s="36"/>
    </row>
    <row r="78937" spans="31:32" x14ac:dyDescent="0.25">
      <c r="AE78937" s="34"/>
      <c r="AF78937" s="34"/>
    </row>
    <row r="78945" spans="31:32" x14ac:dyDescent="0.25">
      <c r="AE78945" s="36"/>
      <c r="AF78945" s="36"/>
    </row>
    <row r="79041" spans="31:32" x14ac:dyDescent="0.25">
      <c r="AE79041" s="34"/>
      <c r="AF79041" s="34"/>
    </row>
    <row r="79049" spans="31:32" x14ac:dyDescent="0.25">
      <c r="AE79049" s="36"/>
      <c r="AF79049" s="36"/>
    </row>
    <row r="79145" spans="31:32" x14ac:dyDescent="0.25">
      <c r="AE79145" s="34"/>
      <c r="AF79145" s="34"/>
    </row>
    <row r="79153" spans="31:32" x14ac:dyDescent="0.25">
      <c r="AE79153" s="36"/>
      <c r="AF79153" s="36"/>
    </row>
    <row r="79249" spans="31:32" x14ac:dyDescent="0.25">
      <c r="AE79249" s="34"/>
      <c r="AF79249" s="34"/>
    </row>
    <row r="79257" spans="31:32" x14ac:dyDescent="0.25">
      <c r="AE79257" s="36"/>
      <c r="AF79257" s="36"/>
    </row>
    <row r="79353" spans="31:32" x14ac:dyDescent="0.25">
      <c r="AE79353" s="34"/>
      <c r="AF79353" s="34"/>
    </row>
    <row r="79361" spans="31:32" x14ac:dyDescent="0.25">
      <c r="AE79361" s="36"/>
      <c r="AF79361" s="36"/>
    </row>
    <row r="79457" spans="31:32" x14ac:dyDescent="0.25">
      <c r="AE79457" s="34"/>
      <c r="AF79457" s="34"/>
    </row>
    <row r="79465" spans="31:32" x14ac:dyDescent="0.25">
      <c r="AE79465" s="36"/>
      <c r="AF79465" s="36"/>
    </row>
    <row r="79561" spans="31:32" x14ac:dyDescent="0.25">
      <c r="AE79561" s="34"/>
      <c r="AF79561" s="34"/>
    </row>
    <row r="79569" spans="31:32" x14ac:dyDescent="0.25">
      <c r="AE79569" s="36"/>
      <c r="AF79569" s="36"/>
    </row>
    <row r="79665" spans="31:32" x14ac:dyDescent="0.25">
      <c r="AE79665" s="34"/>
      <c r="AF79665" s="34"/>
    </row>
    <row r="79673" spans="31:32" x14ac:dyDescent="0.25">
      <c r="AE79673" s="36"/>
      <c r="AF79673" s="36"/>
    </row>
    <row r="79769" spans="31:32" x14ac:dyDescent="0.25">
      <c r="AE79769" s="34"/>
      <c r="AF79769" s="34"/>
    </row>
    <row r="79777" spans="31:32" x14ac:dyDescent="0.25">
      <c r="AE79777" s="36"/>
      <c r="AF79777" s="36"/>
    </row>
    <row r="79873" spans="31:32" x14ac:dyDescent="0.25">
      <c r="AE79873" s="34"/>
      <c r="AF79873" s="34"/>
    </row>
    <row r="79881" spans="31:32" x14ac:dyDescent="0.25">
      <c r="AE79881" s="36"/>
      <c r="AF79881" s="36"/>
    </row>
    <row r="79977" spans="31:32" x14ac:dyDescent="0.25">
      <c r="AE79977" s="34"/>
      <c r="AF79977" s="34"/>
    </row>
    <row r="79985" spans="31:32" x14ac:dyDescent="0.25">
      <c r="AE79985" s="36"/>
      <c r="AF79985" s="36"/>
    </row>
    <row r="80081" spans="31:32" x14ac:dyDescent="0.25">
      <c r="AE80081" s="34"/>
      <c r="AF80081" s="34"/>
    </row>
    <row r="80089" spans="31:32" x14ac:dyDescent="0.25">
      <c r="AE80089" s="36"/>
      <c r="AF80089" s="36"/>
    </row>
    <row r="80185" spans="31:32" x14ac:dyDescent="0.25">
      <c r="AE80185" s="34"/>
      <c r="AF80185" s="34"/>
    </row>
    <row r="80193" spans="31:32" x14ac:dyDescent="0.25">
      <c r="AE80193" s="36"/>
      <c r="AF80193" s="36"/>
    </row>
    <row r="80289" spans="31:32" x14ac:dyDescent="0.25">
      <c r="AE80289" s="34"/>
      <c r="AF80289" s="34"/>
    </row>
    <row r="80297" spans="31:32" x14ac:dyDescent="0.25">
      <c r="AE80297" s="36"/>
      <c r="AF80297" s="36"/>
    </row>
    <row r="80393" spans="31:32" x14ac:dyDescent="0.25">
      <c r="AE80393" s="34"/>
      <c r="AF80393" s="34"/>
    </row>
    <row r="80401" spans="31:32" x14ac:dyDescent="0.25">
      <c r="AE80401" s="36"/>
      <c r="AF80401" s="36"/>
    </row>
    <row r="80497" spans="31:32" x14ac:dyDescent="0.25">
      <c r="AE80497" s="34"/>
      <c r="AF80497" s="34"/>
    </row>
    <row r="80505" spans="31:32" x14ac:dyDescent="0.25">
      <c r="AE80505" s="36"/>
      <c r="AF80505" s="36"/>
    </row>
    <row r="80601" spans="31:32" x14ac:dyDescent="0.25">
      <c r="AE80601" s="34"/>
      <c r="AF80601" s="34"/>
    </row>
    <row r="80609" spans="31:32" x14ac:dyDescent="0.25">
      <c r="AE80609" s="36"/>
      <c r="AF80609" s="36"/>
    </row>
    <row r="80705" spans="31:32" x14ac:dyDescent="0.25">
      <c r="AE80705" s="34"/>
      <c r="AF80705" s="34"/>
    </row>
    <row r="80713" spans="31:32" x14ac:dyDescent="0.25">
      <c r="AE80713" s="36"/>
      <c r="AF80713" s="36"/>
    </row>
    <row r="80809" spans="31:32" x14ac:dyDescent="0.25">
      <c r="AE80809" s="34"/>
      <c r="AF80809" s="34"/>
    </row>
    <row r="80817" spans="31:32" x14ac:dyDescent="0.25">
      <c r="AE80817" s="36"/>
      <c r="AF80817" s="36"/>
    </row>
    <row r="80913" spans="31:32" x14ac:dyDescent="0.25">
      <c r="AE80913" s="34"/>
      <c r="AF80913" s="34"/>
    </row>
    <row r="80921" spans="31:32" x14ac:dyDescent="0.25">
      <c r="AE80921" s="36"/>
      <c r="AF80921" s="36"/>
    </row>
    <row r="81017" spans="31:32" x14ac:dyDescent="0.25">
      <c r="AE81017" s="34"/>
      <c r="AF81017" s="34"/>
    </row>
    <row r="81025" spans="31:32" x14ac:dyDescent="0.25">
      <c r="AE81025" s="36"/>
      <c r="AF81025" s="36"/>
    </row>
    <row r="81121" spans="31:32" x14ac:dyDescent="0.25">
      <c r="AE81121" s="34"/>
      <c r="AF81121" s="34"/>
    </row>
    <row r="81129" spans="31:32" x14ac:dyDescent="0.25">
      <c r="AE81129" s="36"/>
      <c r="AF81129" s="36"/>
    </row>
    <row r="81225" spans="31:32" x14ac:dyDescent="0.25">
      <c r="AE81225" s="34"/>
      <c r="AF81225" s="34"/>
    </row>
    <row r="81233" spans="31:32" x14ac:dyDescent="0.25">
      <c r="AE81233" s="36"/>
      <c r="AF81233" s="36"/>
    </row>
    <row r="81329" spans="31:32" x14ac:dyDescent="0.25">
      <c r="AE81329" s="34"/>
      <c r="AF81329" s="34"/>
    </row>
    <row r="81337" spans="31:32" x14ac:dyDescent="0.25">
      <c r="AE81337" s="36"/>
      <c r="AF81337" s="36"/>
    </row>
    <row r="81433" spans="31:32" x14ac:dyDescent="0.25">
      <c r="AE81433" s="34"/>
      <c r="AF81433" s="34"/>
    </row>
    <row r="81441" spans="31:32" x14ac:dyDescent="0.25">
      <c r="AE81441" s="36"/>
      <c r="AF81441" s="36"/>
    </row>
    <row r="81537" spans="31:32" x14ac:dyDescent="0.25">
      <c r="AE81537" s="34"/>
      <c r="AF81537" s="34"/>
    </row>
    <row r="81545" spans="31:32" x14ac:dyDescent="0.25">
      <c r="AE81545" s="36"/>
      <c r="AF81545" s="36"/>
    </row>
    <row r="81641" spans="31:32" x14ac:dyDescent="0.25">
      <c r="AE81641" s="34"/>
      <c r="AF81641" s="34"/>
    </row>
    <row r="81649" spans="31:32" x14ac:dyDescent="0.25">
      <c r="AE81649" s="36"/>
      <c r="AF81649" s="36"/>
    </row>
    <row r="81745" spans="31:32" x14ac:dyDescent="0.25">
      <c r="AE81745" s="34"/>
      <c r="AF81745" s="34"/>
    </row>
    <row r="81753" spans="31:32" x14ac:dyDescent="0.25">
      <c r="AE81753" s="36"/>
      <c r="AF81753" s="36"/>
    </row>
    <row r="81849" spans="31:32" x14ac:dyDescent="0.25">
      <c r="AE81849" s="34"/>
      <c r="AF81849" s="34"/>
    </row>
    <row r="81857" spans="31:32" x14ac:dyDescent="0.25">
      <c r="AE81857" s="36"/>
      <c r="AF81857" s="36"/>
    </row>
    <row r="81953" spans="31:32" x14ac:dyDescent="0.25">
      <c r="AE81953" s="34"/>
      <c r="AF81953" s="34"/>
    </row>
    <row r="81961" spans="31:32" x14ac:dyDescent="0.25">
      <c r="AE81961" s="36"/>
      <c r="AF81961" s="36"/>
    </row>
    <row r="82057" spans="31:32" x14ac:dyDescent="0.25">
      <c r="AE82057" s="34"/>
      <c r="AF82057" s="34"/>
    </row>
    <row r="82065" spans="31:32" x14ac:dyDescent="0.25">
      <c r="AE82065" s="36"/>
      <c r="AF82065" s="36"/>
    </row>
    <row r="82161" spans="31:32" x14ac:dyDescent="0.25">
      <c r="AE82161" s="34"/>
      <c r="AF82161" s="34"/>
    </row>
    <row r="82169" spans="31:32" x14ac:dyDescent="0.25">
      <c r="AE82169" s="36"/>
      <c r="AF82169" s="36"/>
    </row>
    <row r="82265" spans="31:32" x14ac:dyDescent="0.25">
      <c r="AE82265" s="34"/>
      <c r="AF82265" s="34"/>
    </row>
    <row r="82273" spans="31:32" x14ac:dyDescent="0.25">
      <c r="AE82273" s="36"/>
      <c r="AF82273" s="36"/>
    </row>
    <row r="82369" spans="31:32" x14ac:dyDescent="0.25">
      <c r="AE82369" s="34"/>
      <c r="AF82369" s="34"/>
    </row>
    <row r="82377" spans="31:32" x14ac:dyDescent="0.25">
      <c r="AE82377" s="36"/>
      <c r="AF82377" s="36"/>
    </row>
    <row r="82473" spans="31:32" x14ac:dyDescent="0.25">
      <c r="AE82473" s="34"/>
      <c r="AF82473" s="34"/>
    </row>
    <row r="82481" spans="31:32" x14ac:dyDescent="0.25">
      <c r="AE82481" s="36"/>
      <c r="AF82481" s="36"/>
    </row>
    <row r="82577" spans="31:32" x14ac:dyDescent="0.25">
      <c r="AE82577" s="34"/>
      <c r="AF82577" s="34"/>
    </row>
    <row r="82585" spans="31:32" x14ac:dyDescent="0.25">
      <c r="AE82585" s="36"/>
      <c r="AF82585" s="36"/>
    </row>
    <row r="82681" spans="31:32" x14ac:dyDescent="0.25">
      <c r="AE82681" s="34"/>
      <c r="AF82681" s="34"/>
    </row>
    <row r="82689" spans="31:32" x14ac:dyDescent="0.25">
      <c r="AE82689" s="36"/>
      <c r="AF82689" s="36"/>
    </row>
    <row r="82785" spans="31:32" x14ac:dyDescent="0.25">
      <c r="AE82785" s="34"/>
      <c r="AF82785" s="34"/>
    </row>
    <row r="82793" spans="31:32" x14ac:dyDescent="0.25">
      <c r="AE82793" s="36"/>
      <c r="AF82793" s="36"/>
    </row>
    <row r="82889" spans="31:32" x14ac:dyDescent="0.25">
      <c r="AE82889" s="34"/>
      <c r="AF82889" s="34"/>
    </row>
    <row r="82897" spans="31:32" x14ac:dyDescent="0.25">
      <c r="AE82897" s="36"/>
      <c r="AF82897" s="36"/>
    </row>
    <row r="82993" spans="31:32" x14ac:dyDescent="0.25">
      <c r="AE82993" s="34"/>
      <c r="AF82993" s="34"/>
    </row>
    <row r="83001" spans="31:32" x14ac:dyDescent="0.25">
      <c r="AE83001" s="36"/>
      <c r="AF83001" s="36"/>
    </row>
    <row r="83097" spans="31:32" x14ac:dyDescent="0.25">
      <c r="AE83097" s="34"/>
      <c r="AF83097" s="34"/>
    </row>
    <row r="83105" spans="31:32" x14ac:dyDescent="0.25">
      <c r="AE83105" s="36"/>
      <c r="AF83105" s="36"/>
    </row>
    <row r="83201" spans="31:32" x14ac:dyDescent="0.25">
      <c r="AE83201" s="34"/>
      <c r="AF83201" s="34"/>
    </row>
    <row r="83209" spans="31:32" x14ac:dyDescent="0.25">
      <c r="AE83209" s="36"/>
      <c r="AF83209" s="36"/>
    </row>
    <row r="83305" spans="31:32" x14ac:dyDescent="0.25">
      <c r="AE83305" s="34"/>
      <c r="AF83305" s="34"/>
    </row>
    <row r="83313" spans="31:32" x14ac:dyDescent="0.25">
      <c r="AE83313" s="36"/>
      <c r="AF83313" s="36"/>
    </row>
    <row r="83409" spans="31:32" x14ac:dyDescent="0.25">
      <c r="AE83409" s="34"/>
      <c r="AF83409" s="34"/>
    </row>
    <row r="83417" spans="31:32" x14ac:dyDescent="0.25">
      <c r="AE83417" s="36"/>
      <c r="AF83417" s="36"/>
    </row>
    <row r="83513" spans="31:32" x14ac:dyDescent="0.25">
      <c r="AE83513" s="34"/>
      <c r="AF83513" s="34"/>
    </row>
    <row r="83521" spans="31:32" x14ac:dyDescent="0.25">
      <c r="AE83521" s="36"/>
      <c r="AF83521" s="36"/>
    </row>
    <row r="83617" spans="31:32" x14ac:dyDescent="0.25">
      <c r="AE83617" s="34"/>
      <c r="AF83617" s="34"/>
    </row>
    <row r="83625" spans="31:32" x14ac:dyDescent="0.25">
      <c r="AE83625" s="36"/>
      <c r="AF83625" s="36"/>
    </row>
    <row r="83721" spans="31:32" x14ac:dyDescent="0.25">
      <c r="AE83721" s="34"/>
      <c r="AF83721" s="34"/>
    </row>
    <row r="83729" spans="31:32" x14ac:dyDescent="0.25">
      <c r="AE83729" s="36"/>
      <c r="AF83729" s="36"/>
    </row>
    <row r="83825" spans="31:32" x14ac:dyDescent="0.25">
      <c r="AE83825" s="34"/>
      <c r="AF83825" s="34"/>
    </row>
    <row r="83833" spans="31:32" x14ac:dyDescent="0.25">
      <c r="AE83833" s="36"/>
      <c r="AF83833" s="36"/>
    </row>
    <row r="83929" spans="31:32" x14ac:dyDescent="0.25">
      <c r="AE83929" s="34"/>
      <c r="AF83929" s="34"/>
    </row>
    <row r="83937" spans="31:32" x14ac:dyDescent="0.25">
      <c r="AE83937" s="36"/>
      <c r="AF83937" s="36"/>
    </row>
    <row r="84033" spans="31:32" x14ac:dyDescent="0.25">
      <c r="AE84033" s="34"/>
      <c r="AF84033" s="34"/>
    </row>
    <row r="84041" spans="31:32" x14ac:dyDescent="0.25">
      <c r="AE84041" s="36"/>
      <c r="AF84041" s="36"/>
    </row>
    <row r="84137" spans="31:32" x14ac:dyDescent="0.25">
      <c r="AE84137" s="34"/>
      <c r="AF84137" s="34"/>
    </row>
    <row r="84145" spans="31:32" x14ac:dyDescent="0.25">
      <c r="AE84145" s="36"/>
      <c r="AF84145" s="36"/>
    </row>
    <row r="84241" spans="31:32" x14ac:dyDescent="0.25">
      <c r="AE84241" s="34"/>
      <c r="AF84241" s="34"/>
    </row>
    <row r="84249" spans="31:32" x14ac:dyDescent="0.25">
      <c r="AE84249" s="36"/>
      <c r="AF84249" s="36"/>
    </row>
    <row r="84345" spans="31:32" x14ac:dyDescent="0.25">
      <c r="AE84345" s="34"/>
      <c r="AF84345" s="34"/>
    </row>
    <row r="84353" spans="31:32" x14ac:dyDescent="0.25">
      <c r="AE84353" s="36"/>
      <c r="AF84353" s="36"/>
    </row>
    <row r="84449" spans="31:32" x14ac:dyDescent="0.25">
      <c r="AE84449" s="34"/>
      <c r="AF84449" s="34"/>
    </row>
    <row r="84457" spans="31:32" x14ac:dyDescent="0.25">
      <c r="AE84457" s="36"/>
      <c r="AF84457" s="36"/>
    </row>
    <row r="84553" spans="31:32" x14ac:dyDescent="0.25">
      <c r="AE84553" s="34"/>
      <c r="AF84553" s="34"/>
    </row>
    <row r="84561" spans="31:32" x14ac:dyDescent="0.25">
      <c r="AE84561" s="36"/>
      <c r="AF84561" s="36"/>
    </row>
    <row r="84657" spans="31:32" x14ac:dyDescent="0.25">
      <c r="AE84657" s="34"/>
      <c r="AF84657" s="34"/>
    </row>
    <row r="84665" spans="31:32" x14ac:dyDescent="0.25">
      <c r="AE84665" s="36"/>
      <c r="AF84665" s="36"/>
    </row>
    <row r="84761" spans="31:32" x14ac:dyDescent="0.25">
      <c r="AE84761" s="34"/>
      <c r="AF84761" s="34"/>
    </row>
    <row r="84769" spans="31:32" x14ac:dyDescent="0.25">
      <c r="AE84769" s="36"/>
      <c r="AF84769" s="36"/>
    </row>
    <row r="84865" spans="31:32" x14ac:dyDescent="0.25">
      <c r="AE84865" s="34"/>
      <c r="AF84865" s="34"/>
    </row>
    <row r="84873" spans="31:32" x14ac:dyDescent="0.25">
      <c r="AE84873" s="36"/>
      <c r="AF84873" s="36"/>
    </row>
    <row r="84969" spans="31:32" x14ac:dyDescent="0.25">
      <c r="AE84969" s="34"/>
      <c r="AF84969" s="34"/>
    </row>
    <row r="84977" spans="31:32" x14ac:dyDescent="0.25">
      <c r="AE84977" s="36"/>
      <c r="AF84977" s="36"/>
    </row>
    <row r="85073" spans="31:32" x14ac:dyDescent="0.25">
      <c r="AE85073" s="34"/>
      <c r="AF85073" s="34"/>
    </row>
    <row r="85081" spans="31:32" x14ac:dyDescent="0.25">
      <c r="AE85081" s="36"/>
      <c r="AF85081" s="36"/>
    </row>
    <row r="85177" spans="31:32" x14ac:dyDescent="0.25">
      <c r="AE85177" s="34"/>
      <c r="AF85177" s="34"/>
    </row>
    <row r="85185" spans="31:32" x14ac:dyDescent="0.25">
      <c r="AE85185" s="36"/>
      <c r="AF85185" s="36"/>
    </row>
    <row r="85281" spans="31:32" x14ac:dyDescent="0.25">
      <c r="AE85281" s="34"/>
      <c r="AF85281" s="34"/>
    </row>
    <row r="85289" spans="31:32" x14ac:dyDescent="0.25">
      <c r="AE85289" s="36"/>
      <c r="AF85289" s="36"/>
    </row>
    <row r="85385" spans="31:32" x14ac:dyDescent="0.25">
      <c r="AE85385" s="34"/>
      <c r="AF85385" s="34"/>
    </row>
    <row r="85393" spans="31:32" x14ac:dyDescent="0.25">
      <c r="AE85393" s="36"/>
      <c r="AF85393" s="36"/>
    </row>
    <row r="85489" spans="31:32" x14ac:dyDescent="0.25">
      <c r="AE85489" s="34"/>
      <c r="AF85489" s="34"/>
    </row>
    <row r="85497" spans="31:32" x14ac:dyDescent="0.25">
      <c r="AE85497" s="36"/>
      <c r="AF85497" s="36"/>
    </row>
    <row r="85593" spans="31:32" x14ac:dyDescent="0.25">
      <c r="AE85593" s="34"/>
      <c r="AF85593" s="34"/>
    </row>
    <row r="85601" spans="31:32" x14ac:dyDescent="0.25">
      <c r="AE85601" s="36"/>
      <c r="AF85601" s="36"/>
    </row>
    <row r="85697" spans="31:32" x14ac:dyDescent="0.25">
      <c r="AE85697" s="34"/>
      <c r="AF85697" s="34"/>
    </row>
    <row r="85705" spans="31:32" x14ac:dyDescent="0.25">
      <c r="AE85705" s="36"/>
      <c r="AF85705" s="36"/>
    </row>
    <row r="85801" spans="31:32" x14ac:dyDescent="0.25">
      <c r="AE85801" s="34"/>
      <c r="AF85801" s="34"/>
    </row>
    <row r="85809" spans="31:32" x14ac:dyDescent="0.25">
      <c r="AE85809" s="36"/>
      <c r="AF85809" s="36"/>
    </row>
    <row r="85905" spans="31:32" x14ac:dyDescent="0.25">
      <c r="AE85905" s="34"/>
      <c r="AF85905" s="34"/>
    </row>
    <row r="85913" spans="31:32" x14ac:dyDescent="0.25">
      <c r="AE85913" s="36"/>
      <c r="AF85913" s="36"/>
    </row>
    <row r="86009" spans="31:32" x14ac:dyDescent="0.25">
      <c r="AE86009" s="34"/>
      <c r="AF86009" s="34"/>
    </row>
    <row r="86017" spans="31:32" x14ac:dyDescent="0.25">
      <c r="AE86017" s="36"/>
      <c r="AF86017" s="36"/>
    </row>
    <row r="86113" spans="31:32" x14ac:dyDescent="0.25">
      <c r="AE86113" s="34"/>
      <c r="AF86113" s="34"/>
    </row>
    <row r="86121" spans="31:32" x14ac:dyDescent="0.25">
      <c r="AE86121" s="36"/>
      <c r="AF86121" s="36"/>
    </row>
    <row r="86217" spans="31:32" x14ac:dyDescent="0.25">
      <c r="AE86217" s="34"/>
      <c r="AF86217" s="34"/>
    </row>
    <row r="86225" spans="31:32" x14ac:dyDescent="0.25">
      <c r="AE86225" s="36"/>
      <c r="AF86225" s="36"/>
    </row>
    <row r="86321" spans="31:32" x14ac:dyDescent="0.25">
      <c r="AE86321" s="34"/>
      <c r="AF86321" s="34"/>
    </row>
    <row r="86329" spans="31:32" x14ac:dyDescent="0.25">
      <c r="AE86329" s="36"/>
      <c r="AF86329" s="36"/>
    </row>
    <row r="86425" spans="31:32" x14ac:dyDescent="0.25">
      <c r="AE86425" s="34"/>
      <c r="AF86425" s="34"/>
    </row>
    <row r="86433" spans="31:32" x14ac:dyDescent="0.25">
      <c r="AE86433" s="36"/>
      <c r="AF86433" s="36"/>
    </row>
    <row r="86529" spans="31:32" x14ac:dyDescent="0.25">
      <c r="AE86529" s="34"/>
      <c r="AF86529" s="34"/>
    </row>
    <row r="86537" spans="31:32" x14ac:dyDescent="0.25">
      <c r="AE86537" s="36"/>
      <c r="AF86537" s="36"/>
    </row>
    <row r="86633" spans="31:32" x14ac:dyDescent="0.25">
      <c r="AE86633" s="34"/>
      <c r="AF86633" s="34"/>
    </row>
    <row r="86641" spans="31:32" x14ac:dyDescent="0.25">
      <c r="AE86641" s="36"/>
      <c r="AF86641" s="36"/>
    </row>
    <row r="86737" spans="31:32" x14ac:dyDescent="0.25">
      <c r="AE86737" s="34"/>
      <c r="AF86737" s="34"/>
    </row>
    <row r="86745" spans="31:32" x14ac:dyDescent="0.25">
      <c r="AE86745" s="36"/>
      <c r="AF86745" s="36"/>
    </row>
    <row r="86841" spans="31:32" x14ac:dyDescent="0.25">
      <c r="AE86841" s="34"/>
      <c r="AF86841" s="34"/>
    </row>
    <row r="86849" spans="31:32" x14ac:dyDescent="0.25">
      <c r="AE86849" s="36"/>
      <c r="AF86849" s="36"/>
    </row>
    <row r="86945" spans="31:32" x14ac:dyDescent="0.25">
      <c r="AE86945" s="34"/>
      <c r="AF86945" s="34"/>
    </row>
    <row r="86953" spans="31:32" x14ac:dyDescent="0.25">
      <c r="AE86953" s="36"/>
      <c r="AF86953" s="36"/>
    </row>
    <row r="87049" spans="31:32" x14ac:dyDescent="0.25">
      <c r="AE87049" s="34"/>
      <c r="AF87049" s="34"/>
    </row>
    <row r="87057" spans="31:32" x14ac:dyDescent="0.25">
      <c r="AE87057" s="36"/>
      <c r="AF87057" s="36"/>
    </row>
    <row r="87153" spans="31:32" x14ac:dyDescent="0.25">
      <c r="AE87153" s="34"/>
      <c r="AF87153" s="34"/>
    </row>
    <row r="87161" spans="31:32" x14ac:dyDescent="0.25">
      <c r="AE87161" s="36"/>
      <c r="AF87161" s="36"/>
    </row>
    <row r="87257" spans="31:32" x14ac:dyDescent="0.25">
      <c r="AE87257" s="34"/>
      <c r="AF87257" s="34"/>
    </row>
    <row r="87265" spans="31:32" x14ac:dyDescent="0.25">
      <c r="AE87265" s="36"/>
      <c r="AF87265" s="36"/>
    </row>
    <row r="87361" spans="31:32" x14ac:dyDescent="0.25">
      <c r="AE87361" s="34"/>
      <c r="AF87361" s="34"/>
    </row>
    <row r="87369" spans="31:32" x14ac:dyDescent="0.25">
      <c r="AE87369" s="36"/>
      <c r="AF87369" s="36"/>
    </row>
    <row r="87465" spans="31:32" x14ac:dyDescent="0.25">
      <c r="AE87465" s="34"/>
      <c r="AF87465" s="34"/>
    </row>
    <row r="87473" spans="31:32" x14ac:dyDescent="0.25">
      <c r="AE87473" s="36"/>
      <c r="AF87473" s="36"/>
    </row>
    <row r="87569" spans="31:32" x14ac:dyDescent="0.25">
      <c r="AE87569" s="34"/>
      <c r="AF87569" s="34"/>
    </row>
    <row r="87577" spans="31:32" x14ac:dyDescent="0.25">
      <c r="AE87577" s="36"/>
      <c r="AF87577" s="36"/>
    </row>
    <row r="87673" spans="31:32" x14ac:dyDescent="0.25">
      <c r="AE87673" s="34"/>
      <c r="AF87673" s="34"/>
    </row>
    <row r="87681" spans="31:32" x14ac:dyDescent="0.25">
      <c r="AE87681" s="36"/>
      <c r="AF87681" s="36"/>
    </row>
    <row r="87777" spans="31:32" x14ac:dyDescent="0.25">
      <c r="AE87777" s="34"/>
      <c r="AF87777" s="34"/>
    </row>
    <row r="87785" spans="31:32" x14ac:dyDescent="0.25">
      <c r="AE87785" s="36"/>
      <c r="AF87785" s="36"/>
    </row>
    <row r="87881" spans="31:32" x14ac:dyDescent="0.25">
      <c r="AE87881" s="34"/>
      <c r="AF87881" s="34"/>
    </row>
    <row r="87889" spans="31:32" x14ac:dyDescent="0.25">
      <c r="AE87889" s="36"/>
      <c r="AF87889" s="36"/>
    </row>
    <row r="87985" spans="31:32" x14ac:dyDescent="0.25">
      <c r="AE87985" s="34"/>
      <c r="AF87985" s="34"/>
    </row>
    <row r="87993" spans="31:32" x14ac:dyDescent="0.25">
      <c r="AE87993" s="36"/>
      <c r="AF87993" s="36"/>
    </row>
    <row r="88089" spans="31:32" x14ac:dyDescent="0.25">
      <c r="AE88089" s="34"/>
      <c r="AF88089" s="34"/>
    </row>
    <row r="88097" spans="31:32" x14ac:dyDescent="0.25">
      <c r="AE88097" s="36"/>
      <c r="AF88097" s="36"/>
    </row>
    <row r="88193" spans="31:32" x14ac:dyDescent="0.25">
      <c r="AE88193" s="34"/>
      <c r="AF88193" s="34"/>
    </row>
    <row r="88201" spans="31:32" x14ac:dyDescent="0.25">
      <c r="AE88201" s="36"/>
      <c r="AF88201" s="36"/>
    </row>
    <row r="88297" spans="31:32" x14ac:dyDescent="0.25">
      <c r="AE88297" s="34"/>
      <c r="AF88297" s="34"/>
    </row>
    <row r="88305" spans="31:32" x14ac:dyDescent="0.25">
      <c r="AE88305" s="36"/>
      <c r="AF88305" s="36"/>
    </row>
    <row r="88401" spans="31:32" x14ac:dyDescent="0.25">
      <c r="AE88401" s="34"/>
      <c r="AF88401" s="34"/>
    </row>
    <row r="88409" spans="31:32" x14ac:dyDescent="0.25">
      <c r="AE88409" s="36"/>
      <c r="AF88409" s="36"/>
    </row>
    <row r="88505" spans="31:32" x14ac:dyDescent="0.25">
      <c r="AE88505" s="34"/>
      <c r="AF88505" s="34"/>
    </row>
    <row r="88513" spans="31:32" x14ac:dyDescent="0.25">
      <c r="AE88513" s="36"/>
      <c r="AF88513" s="36"/>
    </row>
    <row r="88609" spans="31:32" x14ac:dyDescent="0.25">
      <c r="AE88609" s="34"/>
      <c r="AF88609" s="34"/>
    </row>
    <row r="88617" spans="31:32" x14ac:dyDescent="0.25">
      <c r="AE88617" s="36"/>
      <c r="AF88617" s="36"/>
    </row>
    <row r="88713" spans="31:32" x14ac:dyDescent="0.25">
      <c r="AE88713" s="34"/>
      <c r="AF88713" s="34"/>
    </row>
    <row r="88721" spans="31:32" x14ac:dyDescent="0.25">
      <c r="AE88721" s="36"/>
      <c r="AF88721" s="36"/>
    </row>
    <row r="88817" spans="31:32" x14ac:dyDescent="0.25">
      <c r="AE88817" s="34"/>
      <c r="AF88817" s="34"/>
    </row>
    <row r="88825" spans="31:32" x14ac:dyDescent="0.25">
      <c r="AE88825" s="36"/>
      <c r="AF88825" s="36"/>
    </row>
    <row r="88921" spans="31:32" x14ac:dyDescent="0.25">
      <c r="AE88921" s="34"/>
      <c r="AF88921" s="34"/>
    </row>
    <row r="88929" spans="31:32" x14ac:dyDescent="0.25">
      <c r="AE88929" s="36"/>
      <c r="AF88929" s="36"/>
    </row>
    <row r="89025" spans="31:32" x14ac:dyDescent="0.25">
      <c r="AE89025" s="34"/>
      <c r="AF89025" s="34"/>
    </row>
    <row r="89033" spans="31:32" x14ac:dyDescent="0.25">
      <c r="AE89033" s="36"/>
      <c r="AF89033" s="36"/>
    </row>
    <row r="89129" spans="31:32" x14ac:dyDescent="0.25">
      <c r="AE89129" s="34"/>
      <c r="AF89129" s="34"/>
    </row>
    <row r="89137" spans="31:32" x14ac:dyDescent="0.25">
      <c r="AE89137" s="36"/>
      <c r="AF89137" s="36"/>
    </row>
    <row r="89233" spans="31:32" x14ac:dyDescent="0.25">
      <c r="AE89233" s="34"/>
      <c r="AF89233" s="34"/>
    </row>
    <row r="89241" spans="31:32" x14ac:dyDescent="0.25">
      <c r="AE89241" s="36"/>
      <c r="AF89241" s="36"/>
    </row>
    <row r="89337" spans="31:32" x14ac:dyDescent="0.25">
      <c r="AE89337" s="34"/>
      <c r="AF89337" s="34"/>
    </row>
    <row r="89345" spans="31:32" x14ac:dyDescent="0.25">
      <c r="AE89345" s="36"/>
      <c r="AF89345" s="36"/>
    </row>
    <row r="89441" spans="31:32" x14ac:dyDescent="0.25">
      <c r="AE89441" s="34"/>
      <c r="AF89441" s="34"/>
    </row>
    <row r="89449" spans="31:32" x14ac:dyDescent="0.25">
      <c r="AE89449" s="36"/>
      <c r="AF89449" s="36"/>
    </row>
    <row r="89545" spans="31:32" x14ac:dyDescent="0.25">
      <c r="AE89545" s="34"/>
      <c r="AF89545" s="34"/>
    </row>
    <row r="89553" spans="31:32" x14ac:dyDescent="0.25">
      <c r="AE89553" s="36"/>
      <c r="AF89553" s="36"/>
    </row>
    <row r="89649" spans="31:32" x14ac:dyDescent="0.25">
      <c r="AE89649" s="34"/>
      <c r="AF89649" s="34"/>
    </row>
    <row r="89657" spans="31:32" x14ac:dyDescent="0.25">
      <c r="AE89657" s="36"/>
      <c r="AF89657" s="36"/>
    </row>
    <row r="89753" spans="31:32" x14ac:dyDescent="0.25">
      <c r="AE89753" s="34"/>
      <c r="AF89753" s="34"/>
    </row>
    <row r="89761" spans="31:32" x14ac:dyDescent="0.25">
      <c r="AE89761" s="36"/>
      <c r="AF89761" s="36"/>
    </row>
    <row r="89857" spans="31:32" x14ac:dyDescent="0.25">
      <c r="AE89857" s="34"/>
      <c r="AF89857" s="34"/>
    </row>
    <row r="89865" spans="31:32" x14ac:dyDescent="0.25">
      <c r="AE89865" s="36"/>
      <c r="AF89865" s="36"/>
    </row>
    <row r="89961" spans="31:32" x14ac:dyDescent="0.25">
      <c r="AE89961" s="34"/>
      <c r="AF89961" s="34"/>
    </row>
    <row r="89969" spans="31:32" x14ac:dyDescent="0.25">
      <c r="AE89969" s="36"/>
      <c r="AF89969" s="36"/>
    </row>
    <row r="90065" spans="31:32" x14ac:dyDescent="0.25">
      <c r="AE90065" s="34"/>
      <c r="AF90065" s="34"/>
    </row>
    <row r="90073" spans="31:32" x14ac:dyDescent="0.25">
      <c r="AE90073" s="36"/>
      <c r="AF90073" s="36"/>
    </row>
    <row r="90169" spans="31:32" x14ac:dyDescent="0.25">
      <c r="AE90169" s="34"/>
      <c r="AF90169" s="34"/>
    </row>
    <row r="90177" spans="31:32" x14ac:dyDescent="0.25">
      <c r="AE90177" s="36"/>
      <c r="AF90177" s="36"/>
    </row>
    <row r="90273" spans="31:32" x14ac:dyDescent="0.25">
      <c r="AE90273" s="34"/>
      <c r="AF90273" s="34"/>
    </row>
    <row r="90281" spans="31:32" x14ac:dyDescent="0.25">
      <c r="AE90281" s="36"/>
      <c r="AF90281" s="36"/>
    </row>
    <row r="90377" spans="31:32" x14ac:dyDescent="0.25">
      <c r="AE90377" s="34"/>
      <c r="AF90377" s="34"/>
    </row>
    <row r="90385" spans="31:32" x14ac:dyDescent="0.25">
      <c r="AE90385" s="36"/>
      <c r="AF90385" s="36"/>
    </row>
    <row r="90481" spans="31:32" x14ac:dyDescent="0.25">
      <c r="AE90481" s="34"/>
      <c r="AF90481" s="34"/>
    </row>
    <row r="90489" spans="31:32" x14ac:dyDescent="0.25">
      <c r="AE90489" s="36"/>
      <c r="AF90489" s="36"/>
    </row>
    <row r="90585" spans="31:32" x14ac:dyDescent="0.25">
      <c r="AE90585" s="34"/>
      <c r="AF90585" s="34"/>
    </row>
    <row r="90593" spans="31:32" x14ac:dyDescent="0.25">
      <c r="AE90593" s="36"/>
      <c r="AF90593" s="36"/>
    </row>
    <row r="90689" spans="31:32" x14ac:dyDescent="0.25">
      <c r="AE90689" s="34"/>
      <c r="AF90689" s="34"/>
    </row>
    <row r="90697" spans="31:32" x14ac:dyDescent="0.25">
      <c r="AE90697" s="36"/>
      <c r="AF90697" s="36"/>
    </row>
    <row r="90793" spans="31:32" x14ac:dyDescent="0.25">
      <c r="AE90793" s="34"/>
      <c r="AF90793" s="34"/>
    </row>
    <row r="90801" spans="31:32" x14ac:dyDescent="0.25">
      <c r="AE90801" s="36"/>
      <c r="AF90801" s="36"/>
    </row>
    <row r="90897" spans="31:32" x14ac:dyDescent="0.25">
      <c r="AE90897" s="34"/>
      <c r="AF90897" s="34"/>
    </row>
    <row r="90905" spans="31:32" x14ac:dyDescent="0.25">
      <c r="AE90905" s="36"/>
      <c r="AF90905" s="36"/>
    </row>
    <row r="91001" spans="31:32" x14ac:dyDescent="0.25">
      <c r="AE91001" s="34"/>
      <c r="AF91001" s="34"/>
    </row>
    <row r="91009" spans="31:32" x14ac:dyDescent="0.25">
      <c r="AE91009" s="36"/>
      <c r="AF91009" s="36"/>
    </row>
    <row r="91105" spans="31:32" x14ac:dyDescent="0.25">
      <c r="AE91105" s="34"/>
      <c r="AF91105" s="34"/>
    </row>
    <row r="91113" spans="31:32" x14ac:dyDescent="0.25">
      <c r="AE91113" s="36"/>
      <c r="AF91113" s="36"/>
    </row>
    <row r="91209" spans="31:32" x14ac:dyDescent="0.25">
      <c r="AE91209" s="34"/>
      <c r="AF91209" s="34"/>
    </row>
    <row r="91217" spans="31:32" x14ac:dyDescent="0.25">
      <c r="AE91217" s="36"/>
      <c r="AF91217" s="36"/>
    </row>
    <row r="91313" spans="31:32" x14ac:dyDescent="0.25">
      <c r="AE91313" s="34"/>
      <c r="AF91313" s="34"/>
    </row>
    <row r="91321" spans="31:32" x14ac:dyDescent="0.25">
      <c r="AE91321" s="36"/>
      <c r="AF91321" s="36"/>
    </row>
    <row r="91417" spans="31:32" x14ac:dyDescent="0.25">
      <c r="AE91417" s="34"/>
      <c r="AF91417" s="34"/>
    </row>
    <row r="91425" spans="31:32" x14ac:dyDescent="0.25">
      <c r="AE91425" s="36"/>
      <c r="AF91425" s="36"/>
    </row>
    <row r="91521" spans="31:32" x14ac:dyDescent="0.25">
      <c r="AE91521" s="34"/>
      <c r="AF91521" s="34"/>
    </row>
    <row r="91529" spans="31:32" x14ac:dyDescent="0.25">
      <c r="AE91529" s="36"/>
      <c r="AF91529" s="36"/>
    </row>
    <row r="91625" spans="31:32" x14ac:dyDescent="0.25">
      <c r="AE91625" s="34"/>
      <c r="AF91625" s="34"/>
    </row>
    <row r="91633" spans="31:32" x14ac:dyDescent="0.25">
      <c r="AE91633" s="36"/>
      <c r="AF91633" s="36"/>
    </row>
    <row r="91729" spans="31:32" x14ac:dyDescent="0.25">
      <c r="AE91729" s="34"/>
      <c r="AF91729" s="34"/>
    </row>
    <row r="91737" spans="31:32" x14ac:dyDescent="0.25">
      <c r="AE91737" s="36"/>
      <c r="AF91737" s="36"/>
    </row>
    <row r="91833" spans="31:32" x14ac:dyDescent="0.25">
      <c r="AE91833" s="34"/>
      <c r="AF91833" s="34"/>
    </row>
    <row r="91841" spans="31:32" x14ac:dyDescent="0.25">
      <c r="AE91841" s="36"/>
      <c r="AF91841" s="36"/>
    </row>
    <row r="91937" spans="31:32" x14ac:dyDescent="0.25">
      <c r="AE91937" s="34"/>
      <c r="AF91937" s="34"/>
    </row>
    <row r="91945" spans="31:32" x14ac:dyDescent="0.25">
      <c r="AE91945" s="36"/>
      <c r="AF91945" s="36"/>
    </row>
    <row r="92041" spans="31:32" x14ac:dyDescent="0.25">
      <c r="AE92041" s="34"/>
      <c r="AF92041" s="34"/>
    </row>
    <row r="92049" spans="31:32" x14ac:dyDescent="0.25">
      <c r="AE92049" s="36"/>
      <c r="AF92049" s="36"/>
    </row>
    <row r="92145" spans="31:32" x14ac:dyDescent="0.25">
      <c r="AE92145" s="34"/>
      <c r="AF92145" s="34"/>
    </row>
    <row r="92153" spans="31:32" x14ac:dyDescent="0.25">
      <c r="AE92153" s="36"/>
      <c r="AF92153" s="36"/>
    </row>
    <row r="92249" spans="31:32" x14ac:dyDescent="0.25">
      <c r="AE92249" s="34"/>
      <c r="AF92249" s="34"/>
    </row>
    <row r="92257" spans="31:32" x14ac:dyDescent="0.25">
      <c r="AE92257" s="36"/>
      <c r="AF92257" s="36"/>
    </row>
    <row r="92353" spans="31:32" x14ac:dyDescent="0.25">
      <c r="AE92353" s="34"/>
      <c r="AF92353" s="34"/>
    </row>
    <row r="92361" spans="31:32" x14ac:dyDescent="0.25">
      <c r="AE92361" s="36"/>
      <c r="AF92361" s="36"/>
    </row>
    <row r="92457" spans="31:32" x14ac:dyDescent="0.25">
      <c r="AE92457" s="34"/>
      <c r="AF92457" s="34"/>
    </row>
    <row r="92465" spans="31:32" x14ac:dyDescent="0.25">
      <c r="AE92465" s="36"/>
      <c r="AF92465" s="36"/>
    </row>
    <row r="92561" spans="31:32" x14ac:dyDescent="0.25">
      <c r="AE92561" s="34"/>
      <c r="AF92561" s="34"/>
    </row>
    <row r="92569" spans="31:32" x14ac:dyDescent="0.25">
      <c r="AE92569" s="36"/>
      <c r="AF92569" s="36"/>
    </row>
    <row r="92665" spans="31:32" x14ac:dyDescent="0.25">
      <c r="AE92665" s="34"/>
      <c r="AF92665" s="34"/>
    </row>
    <row r="92673" spans="31:32" x14ac:dyDescent="0.25">
      <c r="AE92673" s="36"/>
      <c r="AF92673" s="36"/>
    </row>
    <row r="92769" spans="31:32" x14ac:dyDescent="0.25">
      <c r="AE92769" s="34"/>
      <c r="AF92769" s="34"/>
    </row>
    <row r="92777" spans="31:32" x14ac:dyDescent="0.25">
      <c r="AE92777" s="36"/>
      <c r="AF92777" s="36"/>
    </row>
    <row r="92873" spans="31:32" x14ac:dyDescent="0.25">
      <c r="AE92873" s="34"/>
      <c r="AF92873" s="34"/>
    </row>
    <row r="92881" spans="31:32" x14ac:dyDescent="0.25">
      <c r="AE92881" s="36"/>
      <c r="AF92881" s="36"/>
    </row>
    <row r="92977" spans="31:32" x14ac:dyDescent="0.25">
      <c r="AE92977" s="34"/>
      <c r="AF92977" s="34"/>
    </row>
    <row r="92985" spans="31:32" x14ac:dyDescent="0.25">
      <c r="AE92985" s="36"/>
      <c r="AF92985" s="36"/>
    </row>
    <row r="93081" spans="31:32" x14ac:dyDescent="0.25">
      <c r="AE93081" s="34"/>
      <c r="AF93081" s="34"/>
    </row>
    <row r="93089" spans="31:32" x14ac:dyDescent="0.25">
      <c r="AE93089" s="36"/>
      <c r="AF93089" s="36"/>
    </row>
    <row r="93185" spans="31:32" x14ac:dyDescent="0.25">
      <c r="AE93185" s="34"/>
      <c r="AF93185" s="34"/>
    </row>
    <row r="93193" spans="31:32" x14ac:dyDescent="0.25">
      <c r="AE93193" s="36"/>
      <c r="AF93193" s="36"/>
    </row>
    <row r="93289" spans="31:32" x14ac:dyDescent="0.25">
      <c r="AE93289" s="34"/>
      <c r="AF93289" s="34"/>
    </row>
    <row r="93297" spans="31:32" x14ac:dyDescent="0.25">
      <c r="AE93297" s="36"/>
      <c r="AF93297" s="36"/>
    </row>
    <row r="93393" spans="31:32" x14ac:dyDescent="0.25">
      <c r="AE93393" s="34"/>
      <c r="AF93393" s="34"/>
    </row>
    <row r="93401" spans="31:32" x14ac:dyDescent="0.25">
      <c r="AE93401" s="36"/>
      <c r="AF93401" s="36"/>
    </row>
    <row r="93497" spans="31:32" x14ac:dyDescent="0.25">
      <c r="AE93497" s="34"/>
      <c r="AF93497" s="34"/>
    </row>
    <row r="93505" spans="31:32" x14ac:dyDescent="0.25">
      <c r="AE93505" s="36"/>
      <c r="AF93505" s="36"/>
    </row>
    <row r="93601" spans="31:32" x14ac:dyDescent="0.25">
      <c r="AE93601" s="34"/>
      <c r="AF93601" s="34"/>
    </row>
    <row r="93609" spans="31:32" x14ac:dyDescent="0.25">
      <c r="AE93609" s="36"/>
      <c r="AF93609" s="36"/>
    </row>
    <row r="93705" spans="31:32" x14ac:dyDescent="0.25">
      <c r="AE93705" s="34"/>
      <c r="AF93705" s="34"/>
    </row>
    <row r="93713" spans="31:32" x14ac:dyDescent="0.25">
      <c r="AE93713" s="36"/>
      <c r="AF93713" s="36"/>
    </row>
    <row r="93809" spans="31:32" x14ac:dyDescent="0.25">
      <c r="AE93809" s="34"/>
      <c r="AF93809" s="34"/>
    </row>
    <row r="93817" spans="31:32" x14ac:dyDescent="0.25">
      <c r="AE93817" s="36"/>
      <c r="AF93817" s="36"/>
    </row>
    <row r="93913" spans="31:32" x14ac:dyDescent="0.25">
      <c r="AE93913" s="34"/>
      <c r="AF93913" s="34"/>
    </row>
    <row r="93921" spans="31:32" x14ac:dyDescent="0.25">
      <c r="AE93921" s="36"/>
      <c r="AF93921" s="36"/>
    </row>
    <row r="94017" spans="31:32" x14ac:dyDescent="0.25">
      <c r="AE94017" s="34"/>
      <c r="AF94017" s="34"/>
    </row>
    <row r="94025" spans="31:32" x14ac:dyDescent="0.25">
      <c r="AE94025" s="36"/>
      <c r="AF94025" s="36"/>
    </row>
    <row r="94121" spans="31:32" x14ac:dyDescent="0.25">
      <c r="AE94121" s="34"/>
      <c r="AF94121" s="34"/>
    </row>
    <row r="94129" spans="31:32" x14ac:dyDescent="0.25">
      <c r="AE94129" s="36"/>
      <c r="AF94129" s="36"/>
    </row>
    <row r="94225" spans="31:32" x14ac:dyDescent="0.25">
      <c r="AE94225" s="34"/>
      <c r="AF94225" s="34"/>
    </row>
    <row r="94233" spans="31:32" x14ac:dyDescent="0.25">
      <c r="AE94233" s="36"/>
      <c r="AF94233" s="36"/>
    </row>
    <row r="94329" spans="31:32" x14ac:dyDescent="0.25">
      <c r="AE94329" s="34"/>
      <c r="AF94329" s="34"/>
    </row>
    <row r="94337" spans="31:32" x14ac:dyDescent="0.25">
      <c r="AE94337" s="36"/>
      <c r="AF94337" s="36"/>
    </row>
    <row r="94433" spans="31:32" x14ac:dyDescent="0.25">
      <c r="AE94433" s="34"/>
      <c r="AF94433" s="34"/>
    </row>
    <row r="94441" spans="31:32" x14ac:dyDescent="0.25">
      <c r="AE94441" s="36"/>
      <c r="AF94441" s="36"/>
    </row>
    <row r="94537" spans="31:32" x14ac:dyDescent="0.25">
      <c r="AE94537" s="34"/>
      <c r="AF94537" s="34"/>
    </row>
    <row r="94545" spans="31:32" x14ac:dyDescent="0.25">
      <c r="AE94545" s="36"/>
      <c r="AF94545" s="36"/>
    </row>
    <row r="94641" spans="31:32" x14ac:dyDescent="0.25">
      <c r="AE94641" s="34"/>
      <c r="AF94641" s="34"/>
    </row>
    <row r="94649" spans="31:32" x14ac:dyDescent="0.25">
      <c r="AE94649" s="36"/>
      <c r="AF94649" s="36"/>
    </row>
    <row r="94745" spans="31:32" x14ac:dyDescent="0.25">
      <c r="AE94745" s="34"/>
      <c r="AF94745" s="34"/>
    </row>
    <row r="94753" spans="31:32" x14ac:dyDescent="0.25">
      <c r="AE94753" s="36"/>
      <c r="AF94753" s="36"/>
    </row>
    <row r="94849" spans="31:32" x14ac:dyDescent="0.25">
      <c r="AE94849" s="34"/>
      <c r="AF94849" s="34"/>
    </row>
    <row r="94857" spans="31:32" x14ac:dyDescent="0.25">
      <c r="AE94857" s="36"/>
      <c r="AF94857" s="36"/>
    </row>
    <row r="94953" spans="31:32" x14ac:dyDescent="0.25">
      <c r="AE94953" s="34"/>
      <c r="AF94953" s="34"/>
    </row>
    <row r="94961" spans="31:32" x14ac:dyDescent="0.25">
      <c r="AE94961" s="36"/>
      <c r="AF94961" s="36"/>
    </row>
    <row r="95057" spans="31:32" x14ac:dyDescent="0.25">
      <c r="AE95057" s="34"/>
      <c r="AF95057" s="34"/>
    </row>
    <row r="95065" spans="31:32" x14ac:dyDescent="0.25">
      <c r="AE95065" s="36"/>
      <c r="AF95065" s="36"/>
    </row>
    <row r="95161" spans="31:32" x14ac:dyDescent="0.25">
      <c r="AE95161" s="34"/>
      <c r="AF95161" s="34"/>
    </row>
    <row r="95169" spans="31:32" x14ac:dyDescent="0.25">
      <c r="AE95169" s="36"/>
      <c r="AF95169" s="36"/>
    </row>
    <row r="95265" spans="31:32" x14ac:dyDescent="0.25">
      <c r="AE95265" s="34"/>
      <c r="AF95265" s="34"/>
    </row>
    <row r="95273" spans="31:32" x14ac:dyDescent="0.25">
      <c r="AE95273" s="36"/>
      <c r="AF95273" s="36"/>
    </row>
    <row r="95369" spans="31:32" x14ac:dyDescent="0.25">
      <c r="AE95369" s="34"/>
      <c r="AF95369" s="34"/>
    </row>
    <row r="95377" spans="31:32" x14ac:dyDescent="0.25">
      <c r="AE95377" s="36"/>
      <c r="AF95377" s="36"/>
    </row>
    <row r="95473" spans="31:32" x14ac:dyDescent="0.25">
      <c r="AE95473" s="34"/>
      <c r="AF95473" s="34"/>
    </row>
    <row r="95481" spans="31:32" x14ac:dyDescent="0.25">
      <c r="AE95481" s="36"/>
      <c r="AF95481" s="36"/>
    </row>
    <row r="95577" spans="31:32" x14ac:dyDescent="0.25">
      <c r="AE95577" s="34"/>
      <c r="AF95577" s="34"/>
    </row>
    <row r="95585" spans="31:32" x14ac:dyDescent="0.25">
      <c r="AE95585" s="36"/>
      <c r="AF95585" s="36"/>
    </row>
    <row r="95681" spans="31:32" x14ac:dyDescent="0.25">
      <c r="AE95681" s="34"/>
      <c r="AF95681" s="34"/>
    </row>
    <row r="95689" spans="31:32" x14ac:dyDescent="0.25">
      <c r="AE95689" s="36"/>
      <c r="AF95689" s="36"/>
    </row>
    <row r="95785" spans="31:32" x14ac:dyDescent="0.25">
      <c r="AE95785" s="34"/>
      <c r="AF95785" s="34"/>
    </row>
    <row r="95793" spans="31:32" x14ac:dyDescent="0.25">
      <c r="AE95793" s="36"/>
      <c r="AF95793" s="36"/>
    </row>
    <row r="95889" spans="31:32" x14ac:dyDescent="0.25">
      <c r="AE95889" s="34"/>
      <c r="AF95889" s="34"/>
    </row>
    <row r="95897" spans="31:32" x14ac:dyDescent="0.25">
      <c r="AE95897" s="36"/>
      <c r="AF95897" s="36"/>
    </row>
    <row r="95993" spans="31:32" x14ac:dyDescent="0.25">
      <c r="AE95993" s="34"/>
      <c r="AF95993" s="34"/>
    </row>
    <row r="96001" spans="31:32" x14ac:dyDescent="0.25">
      <c r="AE96001" s="36"/>
      <c r="AF96001" s="36"/>
    </row>
    <row r="96097" spans="31:32" x14ac:dyDescent="0.25">
      <c r="AE96097" s="34"/>
      <c r="AF96097" s="34"/>
    </row>
    <row r="96105" spans="31:32" x14ac:dyDescent="0.25">
      <c r="AE96105" s="36"/>
      <c r="AF96105" s="36"/>
    </row>
    <row r="96201" spans="31:32" x14ac:dyDescent="0.25">
      <c r="AE96201" s="34"/>
      <c r="AF96201" s="34"/>
    </row>
    <row r="96209" spans="31:32" x14ac:dyDescent="0.25">
      <c r="AE96209" s="36"/>
      <c r="AF96209" s="36"/>
    </row>
    <row r="96305" spans="31:32" x14ac:dyDescent="0.25">
      <c r="AE96305" s="34"/>
      <c r="AF96305" s="34"/>
    </row>
    <row r="96313" spans="31:32" x14ac:dyDescent="0.25">
      <c r="AE96313" s="36"/>
      <c r="AF96313" s="36"/>
    </row>
    <row r="96409" spans="31:32" x14ac:dyDescent="0.25">
      <c r="AE96409" s="34"/>
      <c r="AF96409" s="34"/>
    </row>
    <row r="96417" spans="31:32" x14ac:dyDescent="0.25">
      <c r="AE96417" s="36"/>
      <c r="AF96417" s="36"/>
    </row>
    <row r="96513" spans="31:32" x14ac:dyDescent="0.25">
      <c r="AE96513" s="34"/>
      <c r="AF96513" s="34"/>
    </row>
    <row r="96521" spans="31:32" x14ac:dyDescent="0.25">
      <c r="AE96521" s="36"/>
      <c r="AF96521" s="36"/>
    </row>
    <row r="96617" spans="31:32" x14ac:dyDescent="0.25">
      <c r="AE96617" s="34"/>
      <c r="AF96617" s="34"/>
    </row>
    <row r="96625" spans="31:32" x14ac:dyDescent="0.25">
      <c r="AE96625" s="36"/>
      <c r="AF96625" s="36"/>
    </row>
    <row r="96721" spans="31:32" x14ac:dyDescent="0.25">
      <c r="AE96721" s="34"/>
      <c r="AF96721" s="34"/>
    </row>
    <row r="96729" spans="31:32" x14ac:dyDescent="0.25">
      <c r="AE96729" s="36"/>
      <c r="AF96729" s="36"/>
    </row>
    <row r="96825" spans="31:32" x14ac:dyDescent="0.25">
      <c r="AE96825" s="34"/>
      <c r="AF96825" s="34"/>
    </row>
    <row r="96833" spans="31:32" x14ac:dyDescent="0.25">
      <c r="AE96833" s="36"/>
      <c r="AF96833" s="36"/>
    </row>
    <row r="96929" spans="31:32" x14ac:dyDescent="0.25">
      <c r="AE96929" s="34"/>
      <c r="AF96929" s="34"/>
    </row>
    <row r="96937" spans="31:32" x14ac:dyDescent="0.25">
      <c r="AE96937" s="36"/>
      <c r="AF96937" s="36"/>
    </row>
    <row r="97033" spans="31:32" x14ac:dyDescent="0.25">
      <c r="AE97033" s="34"/>
      <c r="AF97033" s="34"/>
    </row>
    <row r="97041" spans="31:32" x14ac:dyDescent="0.25">
      <c r="AE97041" s="36"/>
      <c r="AF97041" s="36"/>
    </row>
    <row r="97137" spans="31:32" x14ac:dyDescent="0.25">
      <c r="AE97137" s="34"/>
      <c r="AF97137" s="34"/>
    </row>
    <row r="97145" spans="31:32" x14ac:dyDescent="0.25">
      <c r="AE97145" s="36"/>
      <c r="AF97145" s="36"/>
    </row>
    <row r="97241" spans="31:32" x14ac:dyDescent="0.25">
      <c r="AE97241" s="34"/>
      <c r="AF97241" s="34"/>
    </row>
    <row r="97249" spans="31:32" x14ac:dyDescent="0.25">
      <c r="AE97249" s="36"/>
      <c r="AF97249" s="36"/>
    </row>
    <row r="97345" spans="31:32" x14ac:dyDescent="0.25">
      <c r="AE97345" s="34"/>
      <c r="AF97345" s="34"/>
    </row>
    <row r="97353" spans="31:32" x14ac:dyDescent="0.25">
      <c r="AE97353" s="36"/>
      <c r="AF97353" s="36"/>
    </row>
    <row r="97449" spans="31:32" x14ac:dyDescent="0.25">
      <c r="AE97449" s="34"/>
      <c r="AF97449" s="34"/>
    </row>
    <row r="97457" spans="31:32" x14ac:dyDescent="0.25">
      <c r="AE97457" s="36"/>
      <c r="AF97457" s="36"/>
    </row>
    <row r="97553" spans="31:32" x14ac:dyDescent="0.25">
      <c r="AE97553" s="34"/>
      <c r="AF97553" s="34"/>
    </row>
    <row r="97561" spans="31:32" x14ac:dyDescent="0.25">
      <c r="AE97561" s="36"/>
      <c r="AF97561" s="36"/>
    </row>
    <row r="97657" spans="31:32" x14ac:dyDescent="0.25">
      <c r="AE97657" s="34"/>
      <c r="AF97657" s="34"/>
    </row>
    <row r="97665" spans="31:32" x14ac:dyDescent="0.25">
      <c r="AE97665" s="36"/>
      <c r="AF97665" s="36"/>
    </row>
    <row r="97761" spans="31:32" x14ac:dyDescent="0.25">
      <c r="AE97761" s="34"/>
      <c r="AF97761" s="34"/>
    </row>
    <row r="97769" spans="31:32" x14ac:dyDescent="0.25">
      <c r="AE97769" s="36"/>
      <c r="AF97769" s="36"/>
    </row>
    <row r="97865" spans="31:32" x14ac:dyDescent="0.25">
      <c r="AE97865" s="34"/>
      <c r="AF97865" s="34"/>
    </row>
    <row r="97873" spans="31:32" x14ac:dyDescent="0.25">
      <c r="AE97873" s="36"/>
      <c r="AF97873" s="36"/>
    </row>
    <row r="97969" spans="31:32" x14ac:dyDescent="0.25">
      <c r="AE97969" s="34"/>
      <c r="AF97969" s="34"/>
    </row>
    <row r="97977" spans="31:32" x14ac:dyDescent="0.25">
      <c r="AE97977" s="36"/>
      <c r="AF97977" s="36"/>
    </row>
    <row r="98073" spans="31:32" x14ac:dyDescent="0.25">
      <c r="AE98073" s="34"/>
      <c r="AF98073" s="34"/>
    </row>
    <row r="98081" spans="31:32" x14ac:dyDescent="0.25">
      <c r="AE98081" s="36"/>
      <c r="AF98081" s="36"/>
    </row>
    <row r="98177" spans="31:32" x14ac:dyDescent="0.25">
      <c r="AE98177" s="34"/>
      <c r="AF98177" s="34"/>
    </row>
    <row r="98185" spans="31:32" x14ac:dyDescent="0.25">
      <c r="AE98185" s="36"/>
      <c r="AF98185" s="36"/>
    </row>
    <row r="98281" spans="31:32" x14ac:dyDescent="0.25">
      <c r="AE98281" s="34"/>
      <c r="AF98281" s="34"/>
    </row>
    <row r="98289" spans="31:32" x14ac:dyDescent="0.25">
      <c r="AE98289" s="36"/>
      <c r="AF98289" s="36"/>
    </row>
    <row r="98385" spans="31:32" x14ac:dyDescent="0.25">
      <c r="AE98385" s="34"/>
      <c r="AF98385" s="34"/>
    </row>
    <row r="98393" spans="31:32" x14ac:dyDescent="0.25">
      <c r="AE98393" s="36"/>
      <c r="AF98393" s="36"/>
    </row>
    <row r="98489" spans="31:32" x14ac:dyDescent="0.25">
      <c r="AE98489" s="34"/>
      <c r="AF98489" s="34"/>
    </row>
    <row r="98497" spans="31:32" x14ac:dyDescent="0.25">
      <c r="AE98497" s="36"/>
      <c r="AF98497" s="36"/>
    </row>
    <row r="98593" spans="31:32" x14ac:dyDescent="0.25">
      <c r="AE98593" s="34"/>
      <c r="AF98593" s="34"/>
    </row>
    <row r="98601" spans="31:32" x14ac:dyDescent="0.25">
      <c r="AE98601" s="36"/>
      <c r="AF98601" s="36"/>
    </row>
    <row r="98697" spans="31:32" x14ac:dyDescent="0.25">
      <c r="AE98697" s="34"/>
      <c r="AF98697" s="34"/>
    </row>
    <row r="98705" spans="31:32" x14ac:dyDescent="0.25">
      <c r="AE98705" s="36"/>
      <c r="AF98705" s="36"/>
    </row>
    <row r="98801" spans="31:32" x14ac:dyDescent="0.25">
      <c r="AE98801" s="34"/>
      <c r="AF98801" s="34"/>
    </row>
    <row r="98809" spans="31:32" x14ac:dyDescent="0.25">
      <c r="AE98809" s="36"/>
      <c r="AF98809" s="36"/>
    </row>
    <row r="98905" spans="31:32" x14ac:dyDescent="0.25">
      <c r="AE98905" s="34"/>
      <c r="AF98905" s="34"/>
    </row>
    <row r="98913" spans="31:32" x14ac:dyDescent="0.25">
      <c r="AE98913" s="36"/>
      <c r="AF98913" s="36"/>
    </row>
    <row r="99009" spans="31:32" x14ac:dyDescent="0.25">
      <c r="AE99009" s="34"/>
      <c r="AF99009" s="34"/>
    </row>
    <row r="99017" spans="31:32" x14ac:dyDescent="0.25">
      <c r="AE99017" s="36"/>
      <c r="AF99017" s="36"/>
    </row>
    <row r="99113" spans="31:32" x14ac:dyDescent="0.25">
      <c r="AE99113" s="34"/>
      <c r="AF99113" s="34"/>
    </row>
    <row r="99121" spans="31:32" x14ac:dyDescent="0.25">
      <c r="AE99121" s="36"/>
      <c r="AF99121" s="36"/>
    </row>
    <row r="99217" spans="31:32" x14ac:dyDescent="0.25">
      <c r="AE99217" s="34"/>
      <c r="AF99217" s="34"/>
    </row>
    <row r="99225" spans="31:32" x14ac:dyDescent="0.25">
      <c r="AE99225" s="36"/>
      <c r="AF99225" s="36"/>
    </row>
    <row r="99321" spans="31:32" x14ac:dyDescent="0.25">
      <c r="AE99321" s="34"/>
      <c r="AF99321" s="34"/>
    </row>
    <row r="99329" spans="31:32" x14ac:dyDescent="0.25">
      <c r="AE99329" s="36"/>
      <c r="AF99329" s="36"/>
    </row>
    <row r="99425" spans="31:32" x14ac:dyDescent="0.25">
      <c r="AE99425" s="34"/>
      <c r="AF99425" s="34"/>
    </row>
    <row r="99433" spans="31:32" x14ac:dyDescent="0.25">
      <c r="AE99433" s="36"/>
      <c r="AF99433" s="36"/>
    </row>
    <row r="99529" spans="31:32" x14ac:dyDescent="0.25">
      <c r="AE99529" s="34"/>
      <c r="AF99529" s="34"/>
    </row>
    <row r="99537" spans="31:32" x14ac:dyDescent="0.25">
      <c r="AE99537" s="36"/>
      <c r="AF99537" s="36"/>
    </row>
    <row r="99633" spans="31:32" x14ac:dyDescent="0.25">
      <c r="AE99633" s="34"/>
      <c r="AF99633" s="34"/>
    </row>
    <row r="99641" spans="31:32" x14ac:dyDescent="0.25">
      <c r="AE99641" s="36"/>
      <c r="AF99641" s="36"/>
    </row>
    <row r="99737" spans="31:32" x14ac:dyDescent="0.25">
      <c r="AE99737" s="34"/>
      <c r="AF99737" s="34"/>
    </row>
    <row r="99745" spans="31:32" x14ac:dyDescent="0.25">
      <c r="AE99745" s="36"/>
      <c r="AF99745" s="36"/>
    </row>
    <row r="99841" spans="31:32" x14ac:dyDescent="0.25">
      <c r="AE99841" s="34"/>
      <c r="AF99841" s="34"/>
    </row>
    <row r="99849" spans="31:32" x14ac:dyDescent="0.25">
      <c r="AE99849" s="36"/>
      <c r="AF99849" s="36"/>
    </row>
    <row r="99945" spans="31:32" x14ac:dyDescent="0.25">
      <c r="AE99945" s="34"/>
      <c r="AF99945" s="34"/>
    </row>
    <row r="99953" spans="31:32" x14ac:dyDescent="0.25">
      <c r="AE99953" s="36"/>
      <c r="AF99953" s="36"/>
    </row>
    <row r="100049" spans="31:32" x14ac:dyDescent="0.25">
      <c r="AE100049" s="34"/>
      <c r="AF100049" s="34"/>
    </row>
    <row r="100057" spans="31:32" x14ac:dyDescent="0.25">
      <c r="AE100057" s="36"/>
      <c r="AF100057" s="36"/>
    </row>
    <row r="100153" spans="31:32" x14ac:dyDescent="0.25">
      <c r="AE100153" s="34"/>
      <c r="AF100153" s="34"/>
    </row>
    <row r="100161" spans="31:32" x14ac:dyDescent="0.25">
      <c r="AE100161" s="36"/>
      <c r="AF100161" s="36"/>
    </row>
    <row r="100257" spans="31:32" x14ac:dyDescent="0.25">
      <c r="AE100257" s="34"/>
      <c r="AF100257" s="34"/>
    </row>
    <row r="100265" spans="31:32" x14ac:dyDescent="0.25">
      <c r="AE100265" s="36"/>
      <c r="AF100265" s="36"/>
    </row>
    <row r="100361" spans="31:32" x14ac:dyDescent="0.25">
      <c r="AE100361" s="34"/>
      <c r="AF100361" s="34"/>
    </row>
    <row r="100369" spans="31:32" x14ac:dyDescent="0.25">
      <c r="AE100369" s="36"/>
      <c r="AF100369" s="36"/>
    </row>
    <row r="100465" spans="31:32" x14ac:dyDescent="0.25">
      <c r="AE100465" s="34"/>
      <c r="AF100465" s="34"/>
    </row>
    <row r="100473" spans="31:32" x14ac:dyDescent="0.25">
      <c r="AE100473" s="36"/>
      <c r="AF100473" s="36"/>
    </row>
    <row r="100569" spans="31:32" x14ac:dyDescent="0.25">
      <c r="AE100569" s="34"/>
      <c r="AF100569" s="34"/>
    </row>
    <row r="100577" spans="31:32" x14ac:dyDescent="0.25">
      <c r="AE100577" s="36"/>
      <c r="AF100577" s="36"/>
    </row>
    <row r="100673" spans="31:32" x14ac:dyDescent="0.25">
      <c r="AE100673" s="34"/>
      <c r="AF100673" s="34"/>
    </row>
    <row r="100681" spans="31:32" x14ac:dyDescent="0.25">
      <c r="AE100681" s="36"/>
      <c r="AF100681" s="36"/>
    </row>
    <row r="100777" spans="31:32" x14ac:dyDescent="0.25">
      <c r="AE100777" s="34"/>
      <c r="AF100777" s="34"/>
    </row>
    <row r="100785" spans="31:32" x14ac:dyDescent="0.25">
      <c r="AE100785" s="36"/>
      <c r="AF100785" s="36"/>
    </row>
    <row r="100881" spans="31:32" x14ac:dyDescent="0.25">
      <c r="AE100881" s="34"/>
      <c r="AF100881" s="34"/>
    </row>
    <row r="100889" spans="31:32" x14ac:dyDescent="0.25">
      <c r="AE100889" s="36"/>
      <c r="AF100889" s="36"/>
    </row>
    <row r="100985" spans="31:32" x14ac:dyDescent="0.25">
      <c r="AE100985" s="34"/>
      <c r="AF100985" s="34"/>
    </row>
    <row r="100993" spans="31:32" x14ac:dyDescent="0.25">
      <c r="AE100993" s="36"/>
      <c r="AF100993" s="36"/>
    </row>
    <row r="101089" spans="31:32" x14ac:dyDescent="0.25">
      <c r="AE101089" s="34"/>
      <c r="AF101089" s="34"/>
    </row>
    <row r="101097" spans="31:32" x14ac:dyDescent="0.25">
      <c r="AE101097" s="36"/>
      <c r="AF101097" s="36"/>
    </row>
    <row r="101193" spans="31:32" x14ac:dyDescent="0.25">
      <c r="AE101193" s="34"/>
      <c r="AF101193" s="34"/>
    </row>
    <row r="101201" spans="31:32" x14ac:dyDescent="0.25">
      <c r="AE101201" s="36"/>
      <c r="AF101201" s="36"/>
    </row>
    <row r="101297" spans="31:32" x14ac:dyDescent="0.25">
      <c r="AE101297" s="34"/>
      <c r="AF101297" s="34"/>
    </row>
    <row r="101305" spans="31:32" x14ac:dyDescent="0.25">
      <c r="AE101305" s="36"/>
      <c r="AF101305" s="36"/>
    </row>
    <row r="101401" spans="31:32" x14ac:dyDescent="0.25">
      <c r="AE101401" s="34"/>
      <c r="AF101401" s="34"/>
    </row>
    <row r="101409" spans="31:32" x14ac:dyDescent="0.25">
      <c r="AE101409" s="36"/>
      <c r="AF101409" s="36"/>
    </row>
    <row r="101505" spans="31:32" x14ac:dyDescent="0.25">
      <c r="AE101505" s="34"/>
      <c r="AF101505" s="34"/>
    </row>
    <row r="101513" spans="31:32" x14ac:dyDescent="0.25">
      <c r="AE101513" s="36"/>
      <c r="AF101513" s="36"/>
    </row>
    <row r="101609" spans="31:32" x14ac:dyDescent="0.25">
      <c r="AE101609" s="34"/>
      <c r="AF101609" s="34"/>
    </row>
    <row r="101617" spans="31:32" x14ac:dyDescent="0.25">
      <c r="AE101617" s="36"/>
      <c r="AF101617" s="36"/>
    </row>
    <row r="101713" spans="31:32" x14ac:dyDescent="0.25">
      <c r="AE101713" s="34"/>
      <c r="AF101713" s="34"/>
    </row>
    <row r="101721" spans="31:32" x14ac:dyDescent="0.25">
      <c r="AE101721" s="36"/>
      <c r="AF101721" s="36"/>
    </row>
    <row r="101817" spans="31:32" x14ac:dyDescent="0.25">
      <c r="AE101817" s="34"/>
      <c r="AF101817" s="34"/>
    </row>
    <row r="101825" spans="31:32" x14ac:dyDescent="0.25">
      <c r="AE101825" s="36"/>
      <c r="AF101825" s="36"/>
    </row>
    <row r="101921" spans="31:32" x14ac:dyDescent="0.25">
      <c r="AE101921" s="34"/>
      <c r="AF101921" s="34"/>
    </row>
    <row r="101929" spans="31:32" x14ac:dyDescent="0.25">
      <c r="AE101929" s="36"/>
      <c r="AF101929" s="36"/>
    </row>
    <row r="102025" spans="31:32" x14ac:dyDescent="0.25">
      <c r="AE102025" s="34"/>
      <c r="AF102025" s="34"/>
    </row>
    <row r="102033" spans="31:32" x14ac:dyDescent="0.25">
      <c r="AE102033" s="36"/>
      <c r="AF102033" s="36"/>
    </row>
    <row r="102129" spans="31:32" x14ac:dyDescent="0.25">
      <c r="AE102129" s="34"/>
      <c r="AF102129" s="34"/>
    </row>
    <row r="102137" spans="31:32" x14ac:dyDescent="0.25">
      <c r="AE102137" s="36"/>
      <c r="AF102137" s="36"/>
    </row>
    <row r="102233" spans="31:32" x14ac:dyDescent="0.25">
      <c r="AE102233" s="34"/>
      <c r="AF102233" s="34"/>
    </row>
    <row r="102241" spans="31:32" x14ac:dyDescent="0.25">
      <c r="AE102241" s="36"/>
      <c r="AF102241" s="36"/>
    </row>
    <row r="102337" spans="31:32" x14ac:dyDescent="0.25">
      <c r="AE102337" s="34"/>
      <c r="AF102337" s="34"/>
    </row>
    <row r="102345" spans="31:32" x14ac:dyDescent="0.25">
      <c r="AE102345" s="36"/>
      <c r="AF102345" s="36"/>
    </row>
    <row r="102441" spans="31:32" x14ac:dyDescent="0.25">
      <c r="AE102441" s="34"/>
      <c r="AF102441" s="34"/>
    </row>
    <row r="102449" spans="31:32" x14ac:dyDescent="0.25">
      <c r="AE102449" s="36"/>
      <c r="AF102449" s="36"/>
    </row>
    <row r="102545" spans="31:32" x14ac:dyDescent="0.25">
      <c r="AE102545" s="34"/>
      <c r="AF102545" s="34"/>
    </row>
    <row r="102553" spans="31:32" x14ac:dyDescent="0.25">
      <c r="AE102553" s="36"/>
      <c r="AF102553" s="36"/>
    </row>
    <row r="102649" spans="31:32" x14ac:dyDescent="0.25">
      <c r="AE102649" s="34"/>
      <c r="AF102649" s="34"/>
    </row>
    <row r="102657" spans="31:32" x14ac:dyDescent="0.25">
      <c r="AE102657" s="36"/>
      <c r="AF102657" s="36"/>
    </row>
    <row r="102753" spans="31:32" x14ac:dyDescent="0.25">
      <c r="AE102753" s="34"/>
      <c r="AF102753" s="34"/>
    </row>
    <row r="102761" spans="31:32" x14ac:dyDescent="0.25">
      <c r="AE102761" s="36"/>
      <c r="AF102761" s="36"/>
    </row>
    <row r="102857" spans="31:32" x14ac:dyDescent="0.25">
      <c r="AE102857" s="34"/>
      <c r="AF102857" s="34"/>
    </row>
    <row r="102865" spans="31:32" x14ac:dyDescent="0.25">
      <c r="AE102865" s="36"/>
      <c r="AF102865" s="36"/>
    </row>
    <row r="102961" spans="31:32" x14ac:dyDescent="0.25">
      <c r="AE102961" s="34"/>
      <c r="AF102961" s="34"/>
    </row>
    <row r="102969" spans="31:32" x14ac:dyDescent="0.25">
      <c r="AE102969" s="36"/>
      <c r="AF102969" s="36"/>
    </row>
    <row r="103065" spans="31:32" x14ac:dyDescent="0.25">
      <c r="AE103065" s="34"/>
      <c r="AF103065" s="34"/>
    </row>
    <row r="103073" spans="31:32" x14ac:dyDescent="0.25">
      <c r="AE103073" s="36"/>
      <c r="AF103073" s="36"/>
    </row>
    <row r="103169" spans="31:32" x14ac:dyDescent="0.25">
      <c r="AE103169" s="34"/>
      <c r="AF103169" s="34"/>
    </row>
    <row r="103177" spans="31:32" x14ac:dyDescent="0.25">
      <c r="AE103177" s="36"/>
      <c r="AF103177" s="36"/>
    </row>
    <row r="103273" spans="31:32" x14ac:dyDescent="0.25">
      <c r="AE103273" s="34"/>
      <c r="AF103273" s="34"/>
    </row>
    <row r="103281" spans="31:32" x14ac:dyDescent="0.25">
      <c r="AE103281" s="36"/>
      <c r="AF103281" s="36"/>
    </row>
    <row r="103377" spans="31:32" x14ac:dyDescent="0.25">
      <c r="AE103377" s="34"/>
      <c r="AF103377" s="34"/>
    </row>
    <row r="103385" spans="31:32" x14ac:dyDescent="0.25">
      <c r="AE103385" s="36"/>
      <c r="AF103385" s="36"/>
    </row>
    <row r="103481" spans="31:32" x14ac:dyDescent="0.25">
      <c r="AE103481" s="34"/>
      <c r="AF103481" s="34"/>
    </row>
    <row r="103489" spans="31:32" x14ac:dyDescent="0.25">
      <c r="AE103489" s="36"/>
      <c r="AF103489" s="36"/>
    </row>
    <row r="103585" spans="31:32" x14ac:dyDescent="0.25">
      <c r="AE103585" s="34"/>
      <c r="AF103585" s="34"/>
    </row>
    <row r="103593" spans="31:32" x14ac:dyDescent="0.25">
      <c r="AE103593" s="36"/>
      <c r="AF103593" s="36"/>
    </row>
    <row r="103689" spans="31:32" x14ac:dyDescent="0.25">
      <c r="AE103689" s="34"/>
      <c r="AF103689" s="34"/>
    </row>
    <row r="103697" spans="31:32" x14ac:dyDescent="0.25">
      <c r="AE103697" s="36"/>
      <c r="AF103697" s="36"/>
    </row>
    <row r="103793" spans="31:32" x14ac:dyDescent="0.25">
      <c r="AE103793" s="34"/>
      <c r="AF103793" s="34"/>
    </row>
    <row r="103801" spans="31:32" x14ac:dyDescent="0.25">
      <c r="AE103801" s="36"/>
      <c r="AF103801" s="36"/>
    </row>
    <row r="103897" spans="31:32" x14ac:dyDescent="0.25">
      <c r="AE103897" s="34"/>
      <c r="AF103897" s="34"/>
    </row>
    <row r="103905" spans="31:32" x14ac:dyDescent="0.25">
      <c r="AE103905" s="36"/>
      <c r="AF103905" s="36"/>
    </row>
    <row r="104001" spans="31:32" x14ac:dyDescent="0.25">
      <c r="AE104001" s="34"/>
      <c r="AF104001" s="34"/>
    </row>
    <row r="104009" spans="31:32" x14ac:dyDescent="0.25">
      <c r="AE104009" s="36"/>
      <c r="AF104009" s="36"/>
    </row>
    <row r="104105" spans="31:32" x14ac:dyDescent="0.25">
      <c r="AE104105" s="34"/>
      <c r="AF104105" s="34"/>
    </row>
    <row r="104113" spans="31:32" x14ac:dyDescent="0.25">
      <c r="AE104113" s="36"/>
      <c r="AF104113" s="36"/>
    </row>
    <row r="104209" spans="31:32" x14ac:dyDescent="0.25">
      <c r="AE104209" s="34"/>
      <c r="AF104209" s="34"/>
    </row>
    <row r="104217" spans="31:32" x14ac:dyDescent="0.25">
      <c r="AE104217" s="36"/>
      <c r="AF104217" s="36"/>
    </row>
    <row r="104313" spans="31:32" x14ac:dyDescent="0.25">
      <c r="AE104313" s="34"/>
      <c r="AF104313" s="34"/>
    </row>
    <row r="104321" spans="31:32" x14ac:dyDescent="0.25">
      <c r="AE104321" s="36"/>
      <c r="AF104321" s="36"/>
    </row>
    <row r="104417" spans="31:32" x14ac:dyDescent="0.25">
      <c r="AE104417" s="34"/>
      <c r="AF104417" s="34"/>
    </row>
    <row r="104425" spans="31:32" x14ac:dyDescent="0.25">
      <c r="AE104425" s="36"/>
      <c r="AF104425" s="36"/>
    </row>
    <row r="104521" spans="31:32" x14ac:dyDescent="0.25">
      <c r="AE104521" s="34"/>
      <c r="AF104521" s="34"/>
    </row>
    <row r="104529" spans="31:32" x14ac:dyDescent="0.25">
      <c r="AE104529" s="36"/>
      <c r="AF104529" s="36"/>
    </row>
    <row r="104625" spans="31:32" x14ac:dyDescent="0.25">
      <c r="AE104625" s="34"/>
      <c r="AF104625" s="34"/>
    </row>
    <row r="104633" spans="31:32" x14ac:dyDescent="0.25">
      <c r="AE104633" s="36"/>
      <c r="AF104633" s="36"/>
    </row>
    <row r="104729" spans="31:32" x14ac:dyDescent="0.25">
      <c r="AE104729" s="34"/>
      <c r="AF104729" s="34"/>
    </row>
    <row r="104737" spans="31:32" x14ac:dyDescent="0.25">
      <c r="AE104737" s="36"/>
      <c r="AF104737" s="36"/>
    </row>
    <row r="104833" spans="31:32" x14ac:dyDescent="0.25">
      <c r="AE104833" s="34"/>
      <c r="AF104833" s="34"/>
    </row>
    <row r="104841" spans="31:32" x14ac:dyDescent="0.25">
      <c r="AE104841" s="36"/>
      <c r="AF104841" s="36"/>
    </row>
    <row r="104937" spans="31:32" x14ac:dyDescent="0.25">
      <c r="AE104937" s="34"/>
      <c r="AF104937" s="34"/>
    </row>
    <row r="104945" spans="31:32" x14ac:dyDescent="0.25">
      <c r="AE104945" s="36"/>
      <c r="AF104945" s="36"/>
    </row>
    <row r="105041" spans="31:32" x14ac:dyDescent="0.25">
      <c r="AE105041" s="34"/>
      <c r="AF105041" s="34"/>
    </row>
    <row r="105049" spans="31:32" x14ac:dyDescent="0.25">
      <c r="AE105049" s="36"/>
      <c r="AF105049" s="36"/>
    </row>
    <row r="105145" spans="31:32" x14ac:dyDescent="0.25">
      <c r="AE105145" s="34"/>
      <c r="AF105145" s="34"/>
    </row>
    <row r="105153" spans="31:32" x14ac:dyDescent="0.25">
      <c r="AE105153" s="36"/>
      <c r="AF105153" s="36"/>
    </row>
    <row r="105249" spans="31:32" x14ac:dyDescent="0.25">
      <c r="AE105249" s="34"/>
      <c r="AF105249" s="34"/>
    </row>
    <row r="105257" spans="31:32" x14ac:dyDescent="0.25">
      <c r="AE105257" s="36"/>
      <c r="AF105257" s="36"/>
    </row>
    <row r="105353" spans="31:32" x14ac:dyDescent="0.25">
      <c r="AE105353" s="34"/>
      <c r="AF105353" s="34"/>
    </row>
    <row r="105361" spans="31:32" x14ac:dyDescent="0.25">
      <c r="AE105361" s="36"/>
      <c r="AF105361" s="36"/>
    </row>
    <row r="105457" spans="31:32" x14ac:dyDescent="0.25">
      <c r="AE105457" s="34"/>
      <c r="AF105457" s="34"/>
    </row>
    <row r="105465" spans="31:32" x14ac:dyDescent="0.25">
      <c r="AE105465" s="36"/>
      <c r="AF105465" s="36"/>
    </row>
    <row r="105561" spans="31:32" x14ac:dyDescent="0.25">
      <c r="AE105561" s="34"/>
      <c r="AF105561" s="34"/>
    </row>
    <row r="105569" spans="31:32" x14ac:dyDescent="0.25">
      <c r="AE105569" s="36"/>
      <c r="AF105569" s="36"/>
    </row>
    <row r="105665" spans="31:32" x14ac:dyDescent="0.25">
      <c r="AE105665" s="34"/>
      <c r="AF105665" s="34"/>
    </row>
    <row r="105673" spans="31:32" x14ac:dyDescent="0.25">
      <c r="AE105673" s="36"/>
      <c r="AF105673" s="36"/>
    </row>
    <row r="105769" spans="31:32" x14ac:dyDescent="0.25">
      <c r="AE105769" s="34"/>
      <c r="AF105769" s="34"/>
    </row>
    <row r="105777" spans="31:32" x14ac:dyDescent="0.25">
      <c r="AE105777" s="36"/>
      <c r="AF105777" s="36"/>
    </row>
    <row r="105873" spans="31:32" x14ac:dyDescent="0.25">
      <c r="AE105873" s="34"/>
      <c r="AF105873" s="34"/>
    </row>
    <row r="105881" spans="31:32" x14ac:dyDescent="0.25">
      <c r="AE105881" s="36"/>
      <c r="AF105881" s="36"/>
    </row>
    <row r="105977" spans="31:32" x14ac:dyDescent="0.25">
      <c r="AE105977" s="34"/>
      <c r="AF105977" s="34"/>
    </row>
    <row r="105985" spans="31:32" x14ac:dyDescent="0.25">
      <c r="AE105985" s="36"/>
      <c r="AF105985" s="36"/>
    </row>
    <row r="106081" spans="31:32" x14ac:dyDescent="0.25">
      <c r="AE106081" s="34"/>
      <c r="AF106081" s="34"/>
    </row>
    <row r="106089" spans="31:32" x14ac:dyDescent="0.25">
      <c r="AE106089" s="36"/>
      <c r="AF106089" s="36"/>
    </row>
    <row r="106185" spans="31:32" x14ac:dyDescent="0.25">
      <c r="AE106185" s="34"/>
      <c r="AF106185" s="34"/>
    </row>
    <row r="106193" spans="31:32" x14ac:dyDescent="0.25">
      <c r="AE106193" s="36"/>
      <c r="AF106193" s="36"/>
    </row>
    <row r="106289" spans="31:32" x14ac:dyDescent="0.25">
      <c r="AE106289" s="34"/>
      <c r="AF106289" s="34"/>
    </row>
    <row r="106297" spans="31:32" x14ac:dyDescent="0.25">
      <c r="AE106297" s="36"/>
      <c r="AF106297" s="36"/>
    </row>
    <row r="106393" spans="31:32" x14ac:dyDescent="0.25">
      <c r="AE106393" s="34"/>
      <c r="AF106393" s="34"/>
    </row>
    <row r="106401" spans="31:32" x14ac:dyDescent="0.25">
      <c r="AE106401" s="36"/>
      <c r="AF106401" s="36"/>
    </row>
    <row r="106497" spans="31:32" x14ac:dyDescent="0.25">
      <c r="AE106497" s="34"/>
      <c r="AF106497" s="34"/>
    </row>
    <row r="106505" spans="31:32" x14ac:dyDescent="0.25">
      <c r="AE106505" s="36"/>
      <c r="AF106505" s="36"/>
    </row>
    <row r="106601" spans="31:32" x14ac:dyDescent="0.25">
      <c r="AE106601" s="34"/>
      <c r="AF106601" s="34"/>
    </row>
    <row r="106609" spans="31:32" x14ac:dyDescent="0.25">
      <c r="AE106609" s="36"/>
      <c r="AF106609" s="36"/>
    </row>
    <row r="106705" spans="31:32" x14ac:dyDescent="0.25">
      <c r="AE106705" s="34"/>
      <c r="AF106705" s="34"/>
    </row>
    <row r="106713" spans="31:32" x14ac:dyDescent="0.25">
      <c r="AE106713" s="36"/>
      <c r="AF106713" s="36"/>
    </row>
    <row r="106809" spans="31:32" x14ac:dyDescent="0.25">
      <c r="AE106809" s="34"/>
      <c r="AF106809" s="34"/>
    </row>
    <row r="106817" spans="31:32" x14ac:dyDescent="0.25">
      <c r="AE106817" s="36"/>
      <c r="AF106817" s="36"/>
    </row>
    <row r="106913" spans="31:32" x14ac:dyDescent="0.25">
      <c r="AE106913" s="34"/>
      <c r="AF106913" s="34"/>
    </row>
    <row r="106921" spans="31:32" x14ac:dyDescent="0.25">
      <c r="AE106921" s="36"/>
      <c r="AF106921" s="36"/>
    </row>
    <row r="107017" spans="31:32" x14ac:dyDescent="0.25">
      <c r="AE107017" s="34"/>
      <c r="AF107017" s="34"/>
    </row>
    <row r="107025" spans="31:32" x14ac:dyDescent="0.25">
      <c r="AE107025" s="36"/>
      <c r="AF107025" s="36"/>
    </row>
    <row r="107121" spans="31:32" x14ac:dyDescent="0.25">
      <c r="AE107121" s="34"/>
      <c r="AF107121" s="34"/>
    </row>
    <row r="107129" spans="31:32" x14ac:dyDescent="0.25">
      <c r="AE107129" s="36"/>
      <c r="AF107129" s="36"/>
    </row>
    <row r="107225" spans="31:32" x14ac:dyDescent="0.25">
      <c r="AE107225" s="34"/>
      <c r="AF107225" s="34"/>
    </row>
    <row r="107233" spans="31:32" x14ac:dyDescent="0.25">
      <c r="AE107233" s="36"/>
      <c r="AF107233" s="36"/>
    </row>
    <row r="107329" spans="31:32" x14ac:dyDescent="0.25">
      <c r="AE107329" s="34"/>
      <c r="AF107329" s="34"/>
    </row>
    <row r="107337" spans="31:32" x14ac:dyDescent="0.25">
      <c r="AE107337" s="36"/>
      <c r="AF107337" s="36"/>
    </row>
    <row r="107433" spans="31:32" x14ac:dyDescent="0.25">
      <c r="AE107433" s="34"/>
      <c r="AF107433" s="34"/>
    </row>
    <row r="107441" spans="31:32" x14ac:dyDescent="0.25">
      <c r="AE107441" s="36"/>
      <c r="AF107441" s="36"/>
    </row>
    <row r="107537" spans="31:32" x14ac:dyDescent="0.25">
      <c r="AE107537" s="34"/>
      <c r="AF107537" s="34"/>
    </row>
    <row r="107545" spans="31:32" x14ac:dyDescent="0.25">
      <c r="AE107545" s="36"/>
      <c r="AF107545" s="36"/>
    </row>
    <row r="107641" spans="31:32" x14ac:dyDescent="0.25">
      <c r="AE107641" s="34"/>
      <c r="AF107641" s="34"/>
    </row>
    <row r="107649" spans="31:32" x14ac:dyDescent="0.25">
      <c r="AE107649" s="36"/>
      <c r="AF107649" s="36"/>
    </row>
    <row r="107745" spans="31:32" x14ac:dyDescent="0.25">
      <c r="AE107745" s="34"/>
      <c r="AF107745" s="34"/>
    </row>
    <row r="107753" spans="31:32" x14ac:dyDescent="0.25">
      <c r="AE107753" s="36"/>
      <c r="AF107753" s="36"/>
    </row>
    <row r="107849" spans="31:32" x14ac:dyDescent="0.25">
      <c r="AE107849" s="34"/>
      <c r="AF107849" s="34"/>
    </row>
    <row r="107857" spans="31:32" x14ac:dyDescent="0.25">
      <c r="AE107857" s="36"/>
      <c r="AF107857" s="36"/>
    </row>
    <row r="107953" spans="31:32" x14ac:dyDescent="0.25">
      <c r="AE107953" s="34"/>
      <c r="AF107953" s="34"/>
    </row>
    <row r="107961" spans="31:32" x14ac:dyDescent="0.25">
      <c r="AE107961" s="36"/>
      <c r="AF107961" s="36"/>
    </row>
    <row r="108057" spans="31:32" x14ac:dyDescent="0.25">
      <c r="AE108057" s="34"/>
      <c r="AF108057" s="34"/>
    </row>
    <row r="108065" spans="31:32" x14ac:dyDescent="0.25">
      <c r="AE108065" s="36"/>
      <c r="AF108065" s="36"/>
    </row>
    <row r="108161" spans="31:32" x14ac:dyDescent="0.25">
      <c r="AE108161" s="34"/>
      <c r="AF108161" s="34"/>
    </row>
    <row r="108169" spans="31:32" x14ac:dyDescent="0.25">
      <c r="AE108169" s="36"/>
      <c r="AF108169" s="36"/>
    </row>
    <row r="108265" spans="31:32" x14ac:dyDescent="0.25">
      <c r="AE108265" s="34"/>
      <c r="AF108265" s="34"/>
    </row>
    <row r="108273" spans="31:32" x14ac:dyDescent="0.25">
      <c r="AE108273" s="36"/>
      <c r="AF108273" s="36"/>
    </row>
    <row r="108369" spans="31:32" x14ac:dyDescent="0.25">
      <c r="AE108369" s="34"/>
      <c r="AF108369" s="34"/>
    </row>
    <row r="108377" spans="31:32" x14ac:dyDescent="0.25">
      <c r="AE108377" s="36"/>
      <c r="AF108377" s="36"/>
    </row>
    <row r="108473" spans="31:32" x14ac:dyDescent="0.25">
      <c r="AE108473" s="34"/>
      <c r="AF108473" s="34"/>
    </row>
    <row r="108481" spans="31:32" x14ac:dyDescent="0.25">
      <c r="AE108481" s="36"/>
      <c r="AF108481" s="36"/>
    </row>
    <row r="108577" spans="31:32" x14ac:dyDescent="0.25">
      <c r="AE108577" s="34"/>
      <c r="AF108577" s="34"/>
    </row>
    <row r="108585" spans="31:32" x14ac:dyDescent="0.25">
      <c r="AE108585" s="36"/>
      <c r="AF108585" s="36"/>
    </row>
    <row r="108681" spans="31:32" x14ac:dyDescent="0.25">
      <c r="AE108681" s="34"/>
      <c r="AF108681" s="34"/>
    </row>
    <row r="108689" spans="31:32" x14ac:dyDescent="0.25">
      <c r="AE108689" s="36"/>
      <c r="AF108689" s="36"/>
    </row>
    <row r="108785" spans="31:32" x14ac:dyDescent="0.25">
      <c r="AE108785" s="34"/>
      <c r="AF108785" s="34"/>
    </row>
    <row r="108793" spans="31:32" x14ac:dyDescent="0.25">
      <c r="AE108793" s="36"/>
      <c r="AF108793" s="36"/>
    </row>
    <row r="108889" spans="31:32" x14ac:dyDescent="0.25">
      <c r="AE108889" s="34"/>
      <c r="AF108889" s="34"/>
    </row>
    <row r="108897" spans="31:32" x14ac:dyDescent="0.25">
      <c r="AE108897" s="36"/>
      <c r="AF108897" s="36"/>
    </row>
    <row r="108993" spans="31:32" x14ac:dyDescent="0.25">
      <c r="AE108993" s="34"/>
      <c r="AF108993" s="34"/>
    </row>
    <row r="109001" spans="31:32" x14ac:dyDescent="0.25">
      <c r="AE109001" s="36"/>
      <c r="AF109001" s="36"/>
    </row>
    <row r="109097" spans="31:32" x14ac:dyDescent="0.25">
      <c r="AE109097" s="34"/>
      <c r="AF109097" s="34"/>
    </row>
    <row r="109105" spans="31:32" x14ac:dyDescent="0.25">
      <c r="AE109105" s="36"/>
      <c r="AF109105" s="36"/>
    </row>
    <row r="109201" spans="31:32" x14ac:dyDescent="0.25">
      <c r="AE109201" s="34"/>
      <c r="AF109201" s="34"/>
    </row>
    <row r="109209" spans="31:32" x14ac:dyDescent="0.25">
      <c r="AE109209" s="36"/>
      <c r="AF109209" s="36"/>
    </row>
    <row r="109305" spans="31:32" x14ac:dyDescent="0.25">
      <c r="AE109305" s="34"/>
      <c r="AF109305" s="34"/>
    </row>
    <row r="109313" spans="31:32" x14ac:dyDescent="0.25">
      <c r="AE109313" s="36"/>
      <c r="AF109313" s="36"/>
    </row>
    <row r="109409" spans="31:32" x14ac:dyDescent="0.25">
      <c r="AE109409" s="34"/>
      <c r="AF109409" s="34"/>
    </row>
    <row r="109417" spans="31:32" x14ac:dyDescent="0.25">
      <c r="AE109417" s="36"/>
      <c r="AF109417" s="36"/>
    </row>
    <row r="109513" spans="31:32" x14ac:dyDescent="0.25">
      <c r="AE109513" s="34"/>
      <c r="AF109513" s="34"/>
    </row>
    <row r="109521" spans="31:32" x14ac:dyDescent="0.25">
      <c r="AE109521" s="36"/>
      <c r="AF109521" s="36"/>
    </row>
    <row r="109617" spans="31:32" x14ac:dyDescent="0.25">
      <c r="AE109617" s="34"/>
      <c r="AF109617" s="34"/>
    </row>
    <row r="109625" spans="31:32" x14ac:dyDescent="0.25">
      <c r="AE109625" s="36"/>
      <c r="AF109625" s="36"/>
    </row>
    <row r="109721" spans="31:32" x14ac:dyDescent="0.25">
      <c r="AE109721" s="34"/>
      <c r="AF109721" s="34"/>
    </row>
    <row r="109729" spans="31:32" x14ac:dyDescent="0.25">
      <c r="AE109729" s="36"/>
      <c r="AF109729" s="36"/>
    </row>
    <row r="109825" spans="31:32" x14ac:dyDescent="0.25">
      <c r="AE109825" s="34"/>
      <c r="AF109825" s="34"/>
    </row>
    <row r="109833" spans="31:32" x14ac:dyDescent="0.25">
      <c r="AE109833" s="36"/>
      <c r="AF109833" s="36"/>
    </row>
    <row r="109929" spans="31:32" x14ac:dyDescent="0.25">
      <c r="AE109929" s="34"/>
      <c r="AF109929" s="34"/>
    </row>
    <row r="109937" spans="31:32" x14ac:dyDescent="0.25">
      <c r="AE109937" s="36"/>
      <c r="AF109937" s="36"/>
    </row>
    <row r="110033" spans="31:32" x14ac:dyDescent="0.25">
      <c r="AE110033" s="34"/>
      <c r="AF110033" s="34"/>
    </row>
    <row r="110041" spans="31:32" x14ac:dyDescent="0.25">
      <c r="AE110041" s="36"/>
      <c r="AF110041" s="36"/>
    </row>
    <row r="110137" spans="31:32" x14ac:dyDescent="0.25">
      <c r="AE110137" s="34"/>
      <c r="AF110137" s="34"/>
    </row>
    <row r="110145" spans="31:32" x14ac:dyDescent="0.25">
      <c r="AE110145" s="36"/>
      <c r="AF110145" s="36"/>
    </row>
    <row r="110241" spans="31:32" x14ac:dyDescent="0.25">
      <c r="AE110241" s="34"/>
      <c r="AF110241" s="34"/>
    </row>
    <row r="110249" spans="31:32" x14ac:dyDescent="0.25">
      <c r="AE110249" s="36"/>
      <c r="AF110249" s="36"/>
    </row>
    <row r="110345" spans="31:32" x14ac:dyDescent="0.25">
      <c r="AE110345" s="34"/>
      <c r="AF110345" s="34"/>
    </row>
    <row r="110353" spans="31:32" x14ac:dyDescent="0.25">
      <c r="AE110353" s="36"/>
      <c r="AF110353" s="36"/>
    </row>
    <row r="110449" spans="31:32" x14ac:dyDescent="0.25">
      <c r="AE110449" s="34"/>
      <c r="AF110449" s="34"/>
    </row>
    <row r="110457" spans="31:32" x14ac:dyDescent="0.25">
      <c r="AE110457" s="36"/>
      <c r="AF110457" s="36"/>
    </row>
    <row r="110553" spans="31:32" x14ac:dyDescent="0.25">
      <c r="AE110553" s="34"/>
      <c r="AF110553" s="34"/>
    </row>
    <row r="110561" spans="31:32" x14ac:dyDescent="0.25">
      <c r="AE110561" s="36"/>
      <c r="AF110561" s="36"/>
    </row>
    <row r="110657" spans="31:32" x14ac:dyDescent="0.25">
      <c r="AE110657" s="34"/>
      <c r="AF110657" s="34"/>
    </row>
    <row r="110665" spans="31:32" x14ac:dyDescent="0.25">
      <c r="AE110665" s="36"/>
      <c r="AF110665" s="36"/>
    </row>
    <row r="110761" spans="31:32" x14ac:dyDescent="0.25">
      <c r="AE110761" s="34"/>
      <c r="AF110761" s="34"/>
    </row>
    <row r="110769" spans="31:32" x14ac:dyDescent="0.25">
      <c r="AE110769" s="36"/>
      <c r="AF110769" s="36"/>
    </row>
    <row r="110865" spans="31:32" x14ac:dyDescent="0.25">
      <c r="AE110865" s="34"/>
      <c r="AF110865" s="34"/>
    </row>
    <row r="110873" spans="31:32" x14ac:dyDescent="0.25">
      <c r="AE110873" s="36"/>
      <c r="AF110873" s="36"/>
    </row>
    <row r="110969" spans="31:32" x14ac:dyDescent="0.25">
      <c r="AE110969" s="34"/>
      <c r="AF110969" s="34"/>
    </row>
    <row r="110977" spans="31:32" x14ac:dyDescent="0.25">
      <c r="AE110977" s="36"/>
      <c r="AF110977" s="36"/>
    </row>
    <row r="111073" spans="31:32" x14ac:dyDescent="0.25">
      <c r="AE111073" s="34"/>
      <c r="AF111073" s="34"/>
    </row>
    <row r="111081" spans="31:32" x14ac:dyDescent="0.25">
      <c r="AE111081" s="36"/>
      <c r="AF111081" s="36"/>
    </row>
    <row r="111177" spans="31:32" x14ac:dyDescent="0.25">
      <c r="AE111177" s="34"/>
      <c r="AF111177" s="34"/>
    </row>
    <row r="111185" spans="31:32" x14ac:dyDescent="0.25">
      <c r="AE111185" s="36"/>
      <c r="AF111185" s="36"/>
    </row>
    <row r="111281" spans="31:32" x14ac:dyDescent="0.25">
      <c r="AE111281" s="34"/>
      <c r="AF111281" s="34"/>
    </row>
    <row r="111289" spans="31:32" x14ac:dyDescent="0.25">
      <c r="AE111289" s="36"/>
      <c r="AF111289" s="36"/>
    </row>
    <row r="111385" spans="31:32" x14ac:dyDescent="0.25">
      <c r="AE111385" s="34"/>
      <c r="AF111385" s="34"/>
    </row>
    <row r="111393" spans="31:32" x14ac:dyDescent="0.25">
      <c r="AE111393" s="36"/>
      <c r="AF111393" s="36"/>
    </row>
    <row r="111489" spans="31:32" x14ac:dyDescent="0.25">
      <c r="AE111489" s="34"/>
      <c r="AF111489" s="34"/>
    </row>
    <row r="111497" spans="31:32" x14ac:dyDescent="0.25">
      <c r="AE111497" s="36"/>
      <c r="AF111497" s="36"/>
    </row>
    <row r="111593" spans="31:32" x14ac:dyDescent="0.25">
      <c r="AE111593" s="34"/>
      <c r="AF111593" s="34"/>
    </row>
    <row r="111601" spans="31:32" x14ac:dyDescent="0.25">
      <c r="AE111601" s="36"/>
      <c r="AF111601" s="36"/>
    </row>
    <row r="111697" spans="31:32" x14ac:dyDescent="0.25">
      <c r="AE111697" s="34"/>
      <c r="AF111697" s="34"/>
    </row>
    <row r="111705" spans="31:32" x14ac:dyDescent="0.25">
      <c r="AE111705" s="36"/>
      <c r="AF111705" s="36"/>
    </row>
    <row r="111801" spans="31:32" x14ac:dyDescent="0.25">
      <c r="AE111801" s="34"/>
      <c r="AF111801" s="34"/>
    </row>
    <row r="111809" spans="31:32" x14ac:dyDescent="0.25">
      <c r="AE111809" s="36"/>
      <c r="AF111809" s="36"/>
    </row>
    <row r="111905" spans="31:32" x14ac:dyDescent="0.25">
      <c r="AE111905" s="34"/>
      <c r="AF111905" s="34"/>
    </row>
    <row r="111913" spans="31:32" x14ac:dyDescent="0.25">
      <c r="AE111913" s="36"/>
      <c r="AF111913" s="36"/>
    </row>
    <row r="112009" spans="31:32" x14ac:dyDescent="0.25">
      <c r="AE112009" s="34"/>
      <c r="AF112009" s="34"/>
    </row>
    <row r="112017" spans="31:32" x14ac:dyDescent="0.25">
      <c r="AE112017" s="36"/>
      <c r="AF112017" s="36"/>
    </row>
    <row r="112113" spans="31:32" x14ac:dyDescent="0.25">
      <c r="AE112113" s="34"/>
      <c r="AF112113" s="34"/>
    </row>
    <row r="112121" spans="31:32" x14ac:dyDescent="0.25">
      <c r="AE112121" s="36"/>
      <c r="AF112121" s="36"/>
    </row>
    <row r="112217" spans="31:32" x14ac:dyDescent="0.25">
      <c r="AE112217" s="34"/>
      <c r="AF112217" s="34"/>
    </row>
    <row r="112225" spans="31:32" x14ac:dyDescent="0.25">
      <c r="AE112225" s="36"/>
      <c r="AF112225" s="36"/>
    </row>
    <row r="112321" spans="31:32" x14ac:dyDescent="0.25">
      <c r="AE112321" s="34"/>
      <c r="AF112321" s="34"/>
    </row>
    <row r="112329" spans="31:32" x14ac:dyDescent="0.25">
      <c r="AE112329" s="36"/>
      <c r="AF112329" s="36"/>
    </row>
    <row r="112425" spans="31:32" x14ac:dyDescent="0.25">
      <c r="AE112425" s="34"/>
      <c r="AF112425" s="34"/>
    </row>
    <row r="112433" spans="31:32" x14ac:dyDescent="0.25">
      <c r="AE112433" s="36"/>
      <c r="AF112433" s="36"/>
    </row>
    <row r="112529" spans="31:32" x14ac:dyDescent="0.25">
      <c r="AE112529" s="34"/>
      <c r="AF112529" s="34"/>
    </row>
    <row r="112537" spans="31:32" x14ac:dyDescent="0.25">
      <c r="AE112537" s="36"/>
      <c r="AF112537" s="36"/>
    </row>
    <row r="112633" spans="31:32" x14ac:dyDescent="0.25">
      <c r="AE112633" s="34"/>
      <c r="AF112633" s="34"/>
    </row>
    <row r="112641" spans="31:32" x14ac:dyDescent="0.25">
      <c r="AE112641" s="36"/>
      <c r="AF112641" s="36"/>
    </row>
    <row r="112737" spans="31:32" x14ac:dyDescent="0.25">
      <c r="AE112737" s="34"/>
      <c r="AF112737" s="34"/>
    </row>
    <row r="112745" spans="31:32" x14ac:dyDescent="0.25">
      <c r="AE112745" s="36"/>
      <c r="AF112745" s="36"/>
    </row>
    <row r="112841" spans="31:32" x14ac:dyDescent="0.25">
      <c r="AE112841" s="34"/>
      <c r="AF112841" s="34"/>
    </row>
    <row r="112849" spans="31:32" x14ac:dyDescent="0.25">
      <c r="AE112849" s="36"/>
      <c r="AF112849" s="36"/>
    </row>
    <row r="112945" spans="31:32" x14ac:dyDescent="0.25">
      <c r="AE112945" s="34"/>
      <c r="AF112945" s="34"/>
    </row>
    <row r="112953" spans="31:32" x14ac:dyDescent="0.25">
      <c r="AE112953" s="36"/>
      <c r="AF112953" s="36"/>
    </row>
    <row r="113049" spans="31:32" x14ac:dyDescent="0.25">
      <c r="AE113049" s="34"/>
      <c r="AF113049" s="34"/>
    </row>
    <row r="113057" spans="31:32" x14ac:dyDescent="0.25">
      <c r="AE113057" s="36"/>
      <c r="AF113057" s="36"/>
    </row>
    <row r="113153" spans="31:32" x14ac:dyDescent="0.25">
      <c r="AE113153" s="34"/>
      <c r="AF113153" s="34"/>
    </row>
    <row r="113161" spans="31:32" x14ac:dyDescent="0.25">
      <c r="AE113161" s="36"/>
      <c r="AF113161" s="36"/>
    </row>
    <row r="113257" spans="31:32" x14ac:dyDescent="0.25">
      <c r="AE113257" s="34"/>
      <c r="AF113257" s="34"/>
    </row>
    <row r="113265" spans="31:32" x14ac:dyDescent="0.25">
      <c r="AE113265" s="36"/>
      <c r="AF113265" s="36"/>
    </row>
    <row r="113361" spans="31:32" x14ac:dyDescent="0.25">
      <c r="AE113361" s="34"/>
      <c r="AF113361" s="34"/>
    </row>
    <row r="113369" spans="31:32" x14ac:dyDescent="0.25">
      <c r="AE113369" s="36"/>
      <c r="AF113369" s="36"/>
    </row>
    <row r="113465" spans="31:32" x14ac:dyDescent="0.25">
      <c r="AE113465" s="34"/>
      <c r="AF113465" s="34"/>
    </row>
    <row r="113473" spans="31:32" x14ac:dyDescent="0.25">
      <c r="AE113473" s="36"/>
      <c r="AF113473" s="36"/>
    </row>
    <row r="113569" spans="31:32" x14ac:dyDescent="0.25">
      <c r="AE113569" s="34"/>
      <c r="AF113569" s="34"/>
    </row>
    <row r="113577" spans="31:32" x14ac:dyDescent="0.25">
      <c r="AE113577" s="36"/>
      <c r="AF113577" s="36"/>
    </row>
    <row r="113673" spans="31:32" x14ac:dyDescent="0.25">
      <c r="AE113673" s="34"/>
      <c r="AF113673" s="34"/>
    </row>
    <row r="113681" spans="31:32" x14ac:dyDescent="0.25">
      <c r="AE113681" s="36"/>
      <c r="AF113681" s="36"/>
    </row>
    <row r="113777" spans="31:32" x14ac:dyDescent="0.25">
      <c r="AE113777" s="34"/>
      <c r="AF113777" s="34"/>
    </row>
    <row r="113785" spans="31:32" x14ac:dyDescent="0.25">
      <c r="AE113785" s="36"/>
      <c r="AF113785" s="36"/>
    </row>
    <row r="113881" spans="31:32" x14ac:dyDescent="0.25">
      <c r="AE113881" s="34"/>
      <c r="AF113881" s="34"/>
    </row>
    <row r="113889" spans="31:32" x14ac:dyDescent="0.25">
      <c r="AE113889" s="36"/>
      <c r="AF113889" s="36"/>
    </row>
    <row r="113985" spans="31:32" x14ac:dyDescent="0.25">
      <c r="AE113985" s="34"/>
      <c r="AF113985" s="34"/>
    </row>
    <row r="113993" spans="31:32" x14ac:dyDescent="0.25">
      <c r="AE113993" s="36"/>
      <c r="AF113993" s="36"/>
    </row>
    <row r="114089" spans="31:32" x14ac:dyDescent="0.25">
      <c r="AE114089" s="34"/>
      <c r="AF114089" s="34"/>
    </row>
    <row r="114097" spans="31:32" x14ac:dyDescent="0.25">
      <c r="AE114097" s="36"/>
      <c r="AF114097" s="36"/>
    </row>
    <row r="114193" spans="31:32" x14ac:dyDescent="0.25">
      <c r="AE114193" s="34"/>
      <c r="AF114193" s="34"/>
    </row>
    <row r="114201" spans="31:32" x14ac:dyDescent="0.25">
      <c r="AE114201" s="36"/>
      <c r="AF114201" s="36"/>
    </row>
    <row r="114297" spans="31:32" x14ac:dyDescent="0.25">
      <c r="AE114297" s="34"/>
      <c r="AF114297" s="34"/>
    </row>
    <row r="114305" spans="31:32" x14ac:dyDescent="0.25">
      <c r="AE114305" s="36"/>
      <c r="AF114305" s="36"/>
    </row>
    <row r="114401" spans="31:32" x14ac:dyDescent="0.25">
      <c r="AE114401" s="34"/>
      <c r="AF114401" s="34"/>
    </row>
    <row r="114409" spans="31:32" x14ac:dyDescent="0.25">
      <c r="AE114409" s="36"/>
      <c r="AF114409" s="36"/>
    </row>
    <row r="114505" spans="31:32" x14ac:dyDescent="0.25">
      <c r="AE114505" s="34"/>
      <c r="AF114505" s="34"/>
    </row>
    <row r="114513" spans="31:32" x14ac:dyDescent="0.25">
      <c r="AE114513" s="36"/>
      <c r="AF114513" s="36"/>
    </row>
    <row r="114609" spans="31:32" x14ac:dyDescent="0.25">
      <c r="AE114609" s="34"/>
      <c r="AF114609" s="34"/>
    </row>
    <row r="114617" spans="31:32" x14ac:dyDescent="0.25">
      <c r="AE114617" s="36"/>
      <c r="AF114617" s="36"/>
    </row>
    <row r="114713" spans="31:32" x14ac:dyDescent="0.25">
      <c r="AE114713" s="34"/>
      <c r="AF114713" s="34"/>
    </row>
    <row r="114721" spans="31:32" x14ac:dyDescent="0.25">
      <c r="AE114721" s="36"/>
      <c r="AF114721" s="36"/>
    </row>
    <row r="114817" spans="31:32" x14ac:dyDescent="0.25">
      <c r="AE114817" s="34"/>
      <c r="AF114817" s="34"/>
    </row>
    <row r="114825" spans="31:32" x14ac:dyDescent="0.25">
      <c r="AE114825" s="36"/>
      <c r="AF114825" s="36"/>
    </row>
    <row r="114921" spans="31:32" x14ac:dyDescent="0.25">
      <c r="AE114921" s="34"/>
      <c r="AF114921" s="34"/>
    </row>
    <row r="114929" spans="31:32" x14ac:dyDescent="0.25">
      <c r="AE114929" s="36"/>
      <c r="AF114929" s="36"/>
    </row>
    <row r="115025" spans="31:32" x14ac:dyDescent="0.25">
      <c r="AE115025" s="34"/>
      <c r="AF115025" s="34"/>
    </row>
    <row r="115033" spans="31:32" x14ac:dyDescent="0.25">
      <c r="AE115033" s="36"/>
      <c r="AF115033" s="36"/>
    </row>
    <row r="115129" spans="31:32" x14ac:dyDescent="0.25">
      <c r="AE115129" s="34"/>
      <c r="AF115129" s="34"/>
    </row>
    <row r="115137" spans="31:32" x14ac:dyDescent="0.25">
      <c r="AE115137" s="36"/>
      <c r="AF115137" s="36"/>
    </row>
    <row r="115233" spans="31:32" x14ac:dyDescent="0.25">
      <c r="AE115233" s="34"/>
      <c r="AF115233" s="34"/>
    </row>
    <row r="115241" spans="31:32" x14ac:dyDescent="0.25">
      <c r="AE115241" s="36"/>
      <c r="AF115241" s="36"/>
    </row>
    <row r="115337" spans="31:32" x14ac:dyDescent="0.25">
      <c r="AE115337" s="34"/>
      <c r="AF115337" s="34"/>
    </row>
    <row r="115345" spans="31:32" x14ac:dyDescent="0.25">
      <c r="AE115345" s="36"/>
      <c r="AF115345" s="36"/>
    </row>
    <row r="115441" spans="31:32" x14ac:dyDescent="0.25">
      <c r="AE115441" s="34"/>
      <c r="AF115441" s="34"/>
    </row>
    <row r="115449" spans="31:32" x14ac:dyDescent="0.25">
      <c r="AE115449" s="36"/>
      <c r="AF115449" s="36"/>
    </row>
    <row r="115545" spans="31:32" x14ac:dyDescent="0.25">
      <c r="AE115545" s="34"/>
      <c r="AF115545" s="34"/>
    </row>
    <row r="115553" spans="31:32" x14ac:dyDescent="0.25">
      <c r="AE115553" s="36"/>
      <c r="AF115553" s="36"/>
    </row>
    <row r="115649" spans="31:32" x14ac:dyDescent="0.25">
      <c r="AE115649" s="34"/>
      <c r="AF115649" s="34"/>
    </row>
    <row r="115657" spans="31:32" x14ac:dyDescent="0.25">
      <c r="AE115657" s="36"/>
      <c r="AF115657" s="36"/>
    </row>
    <row r="115753" spans="31:32" x14ac:dyDescent="0.25">
      <c r="AE115753" s="34"/>
      <c r="AF115753" s="34"/>
    </row>
    <row r="115761" spans="31:32" x14ac:dyDescent="0.25">
      <c r="AE115761" s="36"/>
      <c r="AF115761" s="36"/>
    </row>
    <row r="115857" spans="31:32" x14ac:dyDescent="0.25">
      <c r="AE115857" s="34"/>
      <c r="AF115857" s="34"/>
    </row>
    <row r="115865" spans="31:32" x14ac:dyDescent="0.25">
      <c r="AE115865" s="36"/>
      <c r="AF115865" s="36"/>
    </row>
    <row r="115961" spans="31:32" x14ac:dyDescent="0.25">
      <c r="AE115961" s="34"/>
      <c r="AF115961" s="34"/>
    </row>
    <row r="115969" spans="31:32" x14ac:dyDescent="0.25">
      <c r="AE115969" s="36"/>
      <c r="AF115969" s="36"/>
    </row>
    <row r="116065" spans="31:32" x14ac:dyDescent="0.25">
      <c r="AE116065" s="34"/>
      <c r="AF116065" s="34"/>
    </row>
    <row r="116073" spans="31:32" x14ac:dyDescent="0.25">
      <c r="AE116073" s="36"/>
      <c r="AF116073" s="36"/>
    </row>
    <row r="116169" spans="31:32" x14ac:dyDescent="0.25">
      <c r="AE116169" s="34"/>
      <c r="AF116169" s="34"/>
    </row>
    <row r="116177" spans="31:32" x14ac:dyDescent="0.25">
      <c r="AE116177" s="36"/>
      <c r="AF116177" s="36"/>
    </row>
    <row r="116273" spans="31:32" x14ac:dyDescent="0.25">
      <c r="AE116273" s="34"/>
      <c r="AF116273" s="34"/>
    </row>
    <row r="116281" spans="31:32" x14ac:dyDescent="0.25">
      <c r="AE116281" s="36"/>
      <c r="AF116281" s="36"/>
    </row>
    <row r="116377" spans="31:32" x14ac:dyDescent="0.25">
      <c r="AE116377" s="34"/>
      <c r="AF116377" s="34"/>
    </row>
    <row r="116385" spans="31:32" x14ac:dyDescent="0.25">
      <c r="AE116385" s="36"/>
      <c r="AF116385" s="36"/>
    </row>
    <row r="116481" spans="31:32" x14ac:dyDescent="0.25">
      <c r="AE116481" s="34"/>
      <c r="AF116481" s="34"/>
    </row>
    <row r="116489" spans="31:32" x14ac:dyDescent="0.25">
      <c r="AE116489" s="36"/>
      <c r="AF116489" s="36"/>
    </row>
    <row r="116585" spans="31:32" x14ac:dyDescent="0.25">
      <c r="AE116585" s="34"/>
      <c r="AF116585" s="34"/>
    </row>
    <row r="116593" spans="31:32" x14ac:dyDescent="0.25">
      <c r="AE116593" s="36"/>
      <c r="AF116593" s="36"/>
    </row>
    <row r="116689" spans="31:32" x14ac:dyDescent="0.25">
      <c r="AE116689" s="34"/>
      <c r="AF116689" s="34"/>
    </row>
    <row r="116697" spans="31:32" x14ac:dyDescent="0.25">
      <c r="AE116697" s="36"/>
      <c r="AF116697" s="36"/>
    </row>
    <row r="116793" spans="31:32" x14ac:dyDescent="0.25">
      <c r="AE116793" s="34"/>
      <c r="AF116793" s="34"/>
    </row>
    <row r="116801" spans="31:32" x14ac:dyDescent="0.25">
      <c r="AE116801" s="36"/>
      <c r="AF116801" s="36"/>
    </row>
    <row r="116897" spans="31:32" x14ac:dyDescent="0.25">
      <c r="AE116897" s="34"/>
      <c r="AF116897" s="34"/>
    </row>
    <row r="116905" spans="31:32" x14ac:dyDescent="0.25">
      <c r="AE116905" s="36"/>
      <c r="AF116905" s="36"/>
    </row>
    <row r="117001" spans="31:32" x14ac:dyDescent="0.25">
      <c r="AE117001" s="34"/>
      <c r="AF117001" s="34"/>
    </row>
    <row r="117009" spans="31:32" x14ac:dyDescent="0.25">
      <c r="AE117009" s="36"/>
      <c r="AF117009" s="36"/>
    </row>
    <row r="117105" spans="31:32" x14ac:dyDescent="0.25">
      <c r="AE117105" s="34"/>
      <c r="AF117105" s="34"/>
    </row>
    <row r="117113" spans="31:32" x14ac:dyDescent="0.25">
      <c r="AE117113" s="36"/>
      <c r="AF117113" s="36"/>
    </row>
    <row r="117209" spans="31:32" x14ac:dyDescent="0.25">
      <c r="AE117209" s="34"/>
      <c r="AF117209" s="34"/>
    </row>
    <row r="117217" spans="31:32" x14ac:dyDescent="0.25">
      <c r="AE117217" s="36"/>
      <c r="AF117217" s="36"/>
    </row>
    <row r="117313" spans="31:32" x14ac:dyDescent="0.25">
      <c r="AE117313" s="34"/>
      <c r="AF117313" s="34"/>
    </row>
    <row r="117321" spans="31:32" x14ac:dyDescent="0.25">
      <c r="AE117321" s="36"/>
      <c r="AF117321" s="36"/>
    </row>
    <row r="117417" spans="31:32" x14ac:dyDescent="0.25">
      <c r="AE117417" s="34"/>
      <c r="AF117417" s="34"/>
    </row>
    <row r="117425" spans="31:32" x14ac:dyDescent="0.25">
      <c r="AE117425" s="36"/>
      <c r="AF117425" s="36"/>
    </row>
    <row r="117521" spans="31:32" x14ac:dyDescent="0.25">
      <c r="AE117521" s="34"/>
      <c r="AF117521" s="34"/>
    </row>
    <row r="117529" spans="31:32" x14ac:dyDescent="0.25">
      <c r="AE117529" s="36"/>
      <c r="AF117529" s="36"/>
    </row>
    <row r="117625" spans="31:32" x14ac:dyDescent="0.25">
      <c r="AE117625" s="34"/>
      <c r="AF117625" s="34"/>
    </row>
    <row r="117633" spans="31:32" x14ac:dyDescent="0.25">
      <c r="AE117633" s="36"/>
      <c r="AF117633" s="36"/>
    </row>
    <row r="117729" spans="31:32" x14ac:dyDescent="0.25">
      <c r="AE117729" s="34"/>
      <c r="AF117729" s="34"/>
    </row>
    <row r="117737" spans="31:32" x14ac:dyDescent="0.25">
      <c r="AE117737" s="36"/>
      <c r="AF117737" s="36"/>
    </row>
    <row r="117833" spans="31:32" x14ac:dyDescent="0.25">
      <c r="AE117833" s="34"/>
      <c r="AF117833" s="34"/>
    </row>
    <row r="117841" spans="31:32" x14ac:dyDescent="0.25">
      <c r="AE117841" s="36"/>
      <c r="AF117841" s="36"/>
    </row>
    <row r="117937" spans="31:32" x14ac:dyDescent="0.25">
      <c r="AE117937" s="34"/>
      <c r="AF117937" s="34"/>
    </row>
    <row r="117945" spans="31:32" x14ac:dyDescent="0.25">
      <c r="AE117945" s="36"/>
      <c r="AF117945" s="36"/>
    </row>
    <row r="118041" spans="31:32" x14ac:dyDescent="0.25">
      <c r="AE118041" s="34"/>
      <c r="AF118041" s="34"/>
    </row>
    <row r="118049" spans="31:32" x14ac:dyDescent="0.25">
      <c r="AE118049" s="36"/>
      <c r="AF118049" s="36"/>
    </row>
    <row r="118145" spans="31:32" x14ac:dyDescent="0.25">
      <c r="AE118145" s="34"/>
      <c r="AF118145" s="34"/>
    </row>
    <row r="118153" spans="31:32" x14ac:dyDescent="0.25">
      <c r="AE118153" s="36"/>
      <c r="AF118153" s="36"/>
    </row>
    <row r="118249" spans="31:32" x14ac:dyDescent="0.25">
      <c r="AE118249" s="34"/>
      <c r="AF118249" s="34"/>
    </row>
    <row r="118257" spans="31:32" x14ac:dyDescent="0.25">
      <c r="AE118257" s="36"/>
      <c r="AF118257" s="36"/>
    </row>
    <row r="118353" spans="31:32" x14ac:dyDescent="0.25">
      <c r="AE118353" s="34"/>
      <c r="AF118353" s="34"/>
    </row>
    <row r="118361" spans="31:32" x14ac:dyDescent="0.25">
      <c r="AE118361" s="36"/>
      <c r="AF118361" s="36"/>
    </row>
    <row r="118457" spans="31:32" x14ac:dyDescent="0.25">
      <c r="AE118457" s="34"/>
      <c r="AF118457" s="34"/>
    </row>
    <row r="118465" spans="31:32" x14ac:dyDescent="0.25">
      <c r="AE118465" s="36"/>
      <c r="AF118465" s="36"/>
    </row>
    <row r="118561" spans="31:32" x14ac:dyDescent="0.25">
      <c r="AE118561" s="34"/>
      <c r="AF118561" s="34"/>
    </row>
    <row r="118569" spans="31:32" x14ac:dyDescent="0.25">
      <c r="AE118569" s="36"/>
      <c r="AF118569" s="36"/>
    </row>
    <row r="118665" spans="31:32" x14ac:dyDescent="0.25">
      <c r="AE118665" s="34"/>
      <c r="AF118665" s="34"/>
    </row>
    <row r="118673" spans="31:32" x14ac:dyDescent="0.25">
      <c r="AE118673" s="36"/>
      <c r="AF118673" s="36"/>
    </row>
    <row r="118769" spans="31:32" x14ac:dyDescent="0.25">
      <c r="AE118769" s="34"/>
      <c r="AF118769" s="34"/>
    </row>
    <row r="118777" spans="31:32" x14ac:dyDescent="0.25">
      <c r="AE118777" s="36"/>
      <c r="AF118777" s="36"/>
    </row>
    <row r="118873" spans="31:32" x14ac:dyDescent="0.25">
      <c r="AE118873" s="34"/>
      <c r="AF118873" s="34"/>
    </row>
    <row r="118881" spans="31:32" x14ac:dyDescent="0.25">
      <c r="AE118881" s="36"/>
      <c r="AF118881" s="36"/>
    </row>
    <row r="118977" spans="31:32" x14ac:dyDescent="0.25">
      <c r="AE118977" s="34"/>
      <c r="AF118977" s="34"/>
    </row>
    <row r="118985" spans="31:32" x14ac:dyDescent="0.25">
      <c r="AE118985" s="36"/>
      <c r="AF118985" s="36"/>
    </row>
    <row r="119081" spans="31:32" x14ac:dyDescent="0.25">
      <c r="AE119081" s="34"/>
      <c r="AF119081" s="34"/>
    </row>
    <row r="119089" spans="31:32" x14ac:dyDescent="0.25">
      <c r="AE119089" s="36"/>
      <c r="AF119089" s="36"/>
    </row>
    <row r="119185" spans="31:32" x14ac:dyDescent="0.25">
      <c r="AE119185" s="34"/>
      <c r="AF119185" s="34"/>
    </row>
    <row r="119193" spans="31:32" x14ac:dyDescent="0.25">
      <c r="AE119193" s="36"/>
      <c r="AF119193" s="36"/>
    </row>
    <row r="119289" spans="31:32" x14ac:dyDescent="0.25">
      <c r="AE119289" s="34"/>
      <c r="AF119289" s="34"/>
    </row>
    <row r="119297" spans="31:32" x14ac:dyDescent="0.25">
      <c r="AE119297" s="36"/>
      <c r="AF119297" s="36"/>
    </row>
    <row r="119393" spans="31:32" x14ac:dyDescent="0.25">
      <c r="AE119393" s="34"/>
      <c r="AF119393" s="34"/>
    </row>
    <row r="119401" spans="31:32" x14ac:dyDescent="0.25">
      <c r="AE119401" s="36"/>
      <c r="AF119401" s="36"/>
    </row>
    <row r="119497" spans="31:32" x14ac:dyDescent="0.25">
      <c r="AE119497" s="34"/>
      <c r="AF119497" s="34"/>
    </row>
    <row r="119505" spans="31:32" x14ac:dyDescent="0.25">
      <c r="AE119505" s="36"/>
      <c r="AF119505" s="36"/>
    </row>
    <row r="119601" spans="31:32" x14ac:dyDescent="0.25">
      <c r="AE119601" s="34"/>
      <c r="AF119601" s="34"/>
    </row>
    <row r="119609" spans="31:32" x14ac:dyDescent="0.25">
      <c r="AE119609" s="36"/>
      <c r="AF119609" s="36"/>
    </row>
    <row r="119705" spans="31:32" x14ac:dyDescent="0.25">
      <c r="AE119705" s="34"/>
      <c r="AF119705" s="34"/>
    </row>
    <row r="119713" spans="31:32" x14ac:dyDescent="0.25">
      <c r="AE119713" s="36"/>
      <c r="AF119713" s="36"/>
    </row>
    <row r="119809" spans="31:32" x14ac:dyDescent="0.25">
      <c r="AE119809" s="34"/>
      <c r="AF119809" s="34"/>
    </row>
    <row r="119817" spans="31:32" x14ac:dyDescent="0.25">
      <c r="AE119817" s="36"/>
      <c r="AF119817" s="36"/>
    </row>
    <row r="119913" spans="31:32" x14ac:dyDescent="0.25">
      <c r="AE119913" s="34"/>
      <c r="AF119913" s="34"/>
    </row>
    <row r="119921" spans="31:32" x14ac:dyDescent="0.25">
      <c r="AE119921" s="36"/>
      <c r="AF119921" s="36"/>
    </row>
    <row r="120017" spans="31:32" x14ac:dyDescent="0.25">
      <c r="AE120017" s="34"/>
      <c r="AF120017" s="34"/>
    </row>
    <row r="120025" spans="31:32" x14ac:dyDescent="0.25">
      <c r="AE120025" s="36"/>
      <c r="AF120025" s="36"/>
    </row>
    <row r="120121" spans="31:32" x14ac:dyDescent="0.25">
      <c r="AE120121" s="34"/>
      <c r="AF120121" s="34"/>
    </row>
    <row r="120129" spans="31:32" x14ac:dyDescent="0.25">
      <c r="AE120129" s="36"/>
      <c r="AF120129" s="36"/>
    </row>
    <row r="120225" spans="31:32" x14ac:dyDescent="0.25">
      <c r="AE120225" s="34"/>
      <c r="AF120225" s="34"/>
    </row>
    <row r="120233" spans="31:32" x14ac:dyDescent="0.25">
      <c r="AE120233" s="36"/>
      <c r="AF120233" s="36"/>
    </row>
    <row r="120329" spans="31:32" x14ac:dyDescent="0.25">
      <c r="AE120329" s="34"/>
      <c r="AF120329" s="34"/>
    </row>
    <row r="120337" spans="31:32" x14ac:dyDescent="0.25">
      <c r="AE120337" s="36"/>
      <c r="AF120337" s="36"/>
    </row>
    <row r="120433" spans="31:32" x14ac:dyDescent="0.25">
      <c r="AE120433" s="34"/>
      <c r="AF120433" s="34"/>
    </row>
    <row r="120441" spans="31:32" x14ac:dyDescent="0.25">
      <c r="AE120441" s="36"/>
      <c r="AF120441" s="36"/>
    </row>
    <row r="120537" spans="31:32" x14ac:dyDescent="0.25">
      <c r="AE120537" s="34"/>
      <c r="AF120537" s="34"/>
    </row>
    <row r="120545" spans="31:32" x14ac:dyDescent="0.25">
      <c r="AE120545" s="36"/>
      <c r="AF120545" s="36"/>
    </row>
    <row r="120641" spans="31:32" x14ac:dyDescent="0.25">
      <c r="AE120641" s="34"/>
      <c r="AF120641" s="34"/>
    </row>
    <row r="120649" spans="31:32" x14ac:dyDescent="0.25">
      <c r="AE120649" s="36"/>
      <c r="AF120649" s="36"/>
    </row>
    <row r="120745" spans="31:32" x14ac:dyDescent="0.25">
      <c r="AE120745" s="34"/>
      <c r="AF120745" s="34"/>
    </row>
    <row r="120753" spans="31:32" x14ac:dyDescent="0.25">
      <c r="AE120753" s="36"/>
      <c r="AF120753" s="36"/>
    </row>
    <row r="120849" spans="31:32" x14ac:dyDescent="0.25">
      <c r="AE120849" s="34"/>
      <c r="AF120849" s="34"/>
    </row>
    <row r="120857" spans="31:32" x14ac:dyDescent="0.25">
      <c r="AE120857" s="36"/>
      <c r="AF120857" s="36"/>
    </row>
    <row r="120953" spans="31:32" x14ac:dyDescent="0.25">
      <c r="AE120953" s="34"/>
      <c r="AF120953" s="34"/>
    </row>
    <row r="120961" spans="31:32" x14ac:dyDescent="0.25">
      <c r="AE120961" s="36"/>
      <c r="AF120961" s="36"/>
    </row>
    <row r="121057" spans="31:32" x14ac:dyDescent="0.25">
      <c r="AE121057" s="34"/>
      <c r="AF121057" s="34"/>
    </row>
    <row r="121065" spans="31:32" x14ac:dyDescent="0.25">
      <c r="AE121065" s="36"/>
      <c r="AF121065" s="36"/>
    </row>
    <row r="121161" spans="31:32" x14ac:dyDescent="0.25">
      <c r="AE121161" s="34"/>
      <c r="AF121161" s="34"/>
    </row>
    <row r="121169" spans="31:32" x14ac:dyDescent="0.25">
      <c r="AE121169" s="36"/>
      <c r="AF121169" s="36"/>
    </row>
    <row r="121265" spans="31:32" x14ac:dyDescent="0.25">
      <c r="AE121265" s="34"/>
      <c r="AF121265" s="34"/>
    </row>
    <row r="121273" spans="31:32" x14ac:dyDescent="0.25">
      <c r="AE121273" s="36"/>
      <c r="AF121273" s="36"/>
    </row>
    <row r="121369" spans="31:32" x14ac:dyDescent="0.25">
      <c r="AE121369" s="34"/>
      <c r="AF121369" s="34"/>
    </row>
    <row r="121377" spans="31:32" x14ac:dyDescent="0.25">
      <c r="AE121377" s="36"/>
      <c r="AF121377" s="36"/>
    </row>
    <row r="121473" spans="31:32" x14ac:dyDescent="0.25">
      <c r="AE121473" s="34"/>
      <c r="AF121473" s="34"/>
    </row>
    <row r="121481" spans="31:32" x14ac:dyDescent="0.25">
      <c r="AE121481" s="36"/>
      <c r="AF121481" s="36"/>
    </row>
    <row r="121577" spans="31:32" x14ac:dyDescent="0.25">
      <c r="AE121577" s="34"/>
      <c r="AF121577" s="34"/>
    </row>
    <row r="121585" spans="31:32" x14ac:dyDescent="0.25">
      <c r="AE121585" s="36"/>
      <c r="AF121585" s="36"/>
    </row>
    <row r="121681" spans="31:32" x14ac:dyDescent="0.25">
      <c r="AE121681" s="34"/>
      <c r="AF121681" s="34"/>
    </row>
    <row r="121689" spans="31:32" x14ac:dyDescent="0.25">
      <c r="AE121689" s="36"/>
      <c r="AF121689" s="36"/>
    </row>
    <row r="121785" spans="31:32" x14ac:dyDescent="0.25">
      <c r="AE121785" s="34"/>
      <c r="AF121785" s="34"/>
    </row>
    <row r="121793" spans="31:32" x14ac:dyDescent="0.25">
      <c r="AE121793" s="36"/>
      <c r="AF121793" s="36"/>
    </row>
    <row r="121889" spans="31:32" x14ac:dyDescent="0.25">
      <c r="AE121889" s="34"/>
      <c r="AF121889" s="34"/>
    </row>
    <row r="121897" spans="31:32" x14ac:dyDescent="0.25">
      <c r="AE121897" s="36"/>
      <c r="AF121897" s="36"/>
    </row>
    <row r="121993" spans="31:32" x14ac:dyDescent="0.25">
      <c r="AE121993" s="34"/>
      <c r="AF121993" s="34"/>
    </row>
    <row r="122001" spans="31:32" x14ac:dyDescent="0.25">
      <c r="AE122001" s="36"/>
      <c r="AF122001" s="36"/>
    </row>
    <row r="122097" spans="31:32" x14ac:dyDescent="0.25">
      <c r="AE122097" s="34"/>
      <c r="AF122097" s="34"/>
    </row>
    <row r="122105" spans="31:32" x14ac:dyDescent="0.25">
      <c r="AE122105" s="36"/>
      <c r="AF122105" s="36"/>
    </row>
    <row r="122201" spans="31:32" x14ac:dyDescent="0.25">
      <c r="AE122201" s="34"/>
      <c r="AF122201" s="34"/>
    </row>
    <row r="122209" spans="31:32" x14ac:dyDescent="0.25">
      <c r="AE122209" s="36"/>
      <c r="AF122209" s="36"/>
    </row>
    <row r="122305" spans="31:32" x14ac:dyDescent="0.25">
      <c r="AE122305" s="34"/>
      <c r="AF122305" s="34"/>
    </row>
    <row r="122313" spans="31:32" x14ac:dyDescent="0.25">
      <c r="AE122313" s="36"/>
      <c r="AF122313" s="36"/>
    </row>
    <row r="122409" spans="31:32" x14ac:dyDescent="0.25">
      <c r="AE122409" s="34"/>
      <c r="AF122409" s="34"/>
    </row>
    <row r="122417" spans="31:32" x14ac:dyDescent="0.25">
      <c r="AE122417" s="36"/>
      <c r="AF122417" s="36"/>
    </row>
    <row r="122513" spans="31:32" x14ac:dyDescent="0.25">
      <c r="AE122513" s="34"/>
      <c r="AF122513" s="34"/>
    </row>
    <row r="122521" spans="31:32" x14ac:dyDescent="0.25">
      <c r="AE122521" s="36"/>
      <c r="AF122521" s="36"/>
    </row>
    <row r="122617" spans="31:32" x14ac:dyDescent="0.25">
      <c r="AE122617" s="34"/>
      <c r="AF122617" s="34"/>
    </row>
    <row r="122625" spans="31:32" x14ac:dyDescent="0.25">
      <c r="AE122625" s="36"/>
      <c r="AF122625" s="36"/>
    </row>
    <row r="122721" spans="31:32" x14ac:dyDescent="0.25">
      <c r="AE122721" s="34"/>
      <c r="AF122721" s="34"/>
    </row>
    <row r="122729" spans="31:32" x14ac:dyDescent="0.25">
      <c r="AE122729" s="36"/>
      <c r="AF122729" s="36"/>
    </row>
    <row r="122825" spans="31:32" x14ac:dyDescent="0.25">
      <c r="AE122825" s="34"/>
      <c r="AF122825" s="34"/>
    </row>
    <row r="122833" spans="31:32" x14ac:dyDescent="0.25">
      <c r="AE122833" s="36"/>
      <c r="AF122833" s="36"/>
    </row>
    <row r="122929" spans="31:32" x14ac:dyDescent="0.25">
      <c r="AE122929" s="34"/>
      <c r="AF122929" s="34"/>
    </row>
    <row r="122937" spans="31:32" x14ac:dyDescent="0.25">
      <c r="AE122937" s="36"/>
      <c r="AF122937" s="36"/>
    </row>
    <row r="123033" spans="31:32" x14ac:dyDescent="0.25">
      <c r="AE123033" s="34"/>
      <c r="AF123033" s="34"/>
    </row>
    <row r="123041" spans="31:32" x14ac:dyDescent="0.25">
      <c r="AE123041" s="36"/>
      <c r="AF123041" s="36"/>
    </row>
    <row r="123137" spans="31:32" x14ac:dyDescent="0.25">
      <c r="AE123137" s="34"/>
      <c r="AF123137" s="34"/>
    </row>
    <row r="123145" spans="31:32" x14ac:dyDescent="0.25">
      <c r="AE123145" s="36"/>
      <c r="AF123145" s="36"/>
    </row>
    <row r="123241" spans="31:32" x14ac:dyDescent="0.25">
      <c r="AE123241" s="34"/>
      <c r="AF123241" s="34"/>
    </row>
    <row r="123249" spans="31:32" x14ac:dyDescent="0.25">
      <c r="AE123249" s="36"/>
      <c r="AF123249" s="36"/>
    </row>
    <row r="123345" spans="31:32" x14ac:dyDescent="0.25">
      <c r="AE123345" s="34"/>
      <c r="AF123345" s="34"/>
    </row>
    <row r="123353" spans="31:32" x14ac:dyDescent="0.25">
      <c r="AE123353" s="36"/>
      <c r="AF123353" s="36"/>
    </row>
    <row r="123449" spans="31:32" x14ac:dyDescent="0.25">
      <c r="AE123449" s="34"/>
      <c r="AF123449" s="34"/>
    </row>
    <row r="123457" spans="31:32" x14ac:dyDescent="0.25">
      <c r="AE123457" s="36"/>
      <c r="AF123457" s="36"/>
    </row>
    <row r="123553" spans="31:32" x14ac:dyDescent="0.25">
      <c r="AE123553" s="34"/>
      <c r="AF123553" s="34"/>
    </row>
    <row r="123561" spans="31:32" x14ac:dyDescent="0.25">
      <c r="AE123561" s="36"/>
      <c r="AF123561" s="36"/>
    </row>
    <row r="123657" spans="31:32" x14ac:dyDescent="0.25">
      <c r="AE123657" s="34"/>
      <c r="AF123657" s="34"/>
    </row>
    <row r="123665" spans="31:32" x14ac:dyDescent="0.25">
      <c r="AE123665" s="36"/>
      <c r="AF123665" s="36"/>
    </row>
    <row r="123761" spans="31:32" x14ac:dyDescent="0.25">
      <c r="AE123761" s="34"/>
      <c r="AF123761" s="34"/>
    </row>
    <row r="123769" spans="31:32" x14ac:dyDescent="0.25">
      <c r="AE123769" s="36"/>
      <c r="AF123769" s="36"/>
    </row>
    <row r="123865" spans="31:32" x14ac:dyDescent="0.25">
      <c r="AE123865" s="34"/>
      <c r="AF123865" s="34"/>
    </row>
    <row r="123873" spans="31:32" x14ac:dyDescent="0.25">
      <c r="AE123873" s="36"/>
      <c r="AF123873" s="36"/>
    </row>
    <row r="123969" spans="31:32" x14ac:dyDescent="0.25">
      <c r="AE123969" s="34"/>
      <c r="AF123969" s="34"/>
    </row>
    <row r="123977" spans="31:32" x14ac:dyDescent="0.25">
      <c r="AE123977" s="36"/>
      <c r="AF123977" s="36"/>
    </row>
    <row r="124073" spans="31:32" x14ac:dyDescent="0.25">
      <c r="AE124073" s="34"/>
      <c r="AF124073" s="34"/>
    </row>
    <row r="124081" spans="31:32" x14ac:dyDescent="0.25">
      <c r="AE124081" s="36"/>
      <c r="AF124081" s="36"/>
    </row>
    <row r="124177" spans="31:32" x14ac:dyDescent="0.25">
      <c r="AE124177" s="34"/>
      <c r="AF124177" s="34"/>
    </row>
    <row r="124185" spans="31:32" x14ac:dyDescent="0.25">
      <c r="AE124185" s="36"/>
      <c r="AF124185" s="36"/>
    </row>
    <row r="124281" spans="31:32" x14ac:dyDescent="0.25">
      <c r="AE124281" s="34"/>
      <c r="AF124281" s="34"/>
    </row>
    <row r="124289" spans="31:32" x14ac:dyDescent="0.25">
      <c r="AE124289" s="36"/>
      <c r="AF124289" s="36"/>
    </row>
    <row r="124385" spans="31:32" x14ac:dyDescent="0.25">
      <c r="AE124385" s="34"/>
      <c r="AF124385" s="34"/>
    </row>
    <row r="124393" spans="31:32" x14ac:dyDescent="0.25">
      <c r="AE124393" s="36"/>
      <c r="AF124393" s="36"/>
    </row>
    <row r="124489" spans="31:32" x14ac:dyDescent="0.25">
      <c r="AE124489" s="34"/>
      <c r="AF124489" s="34"/>
    </row>
    <row r="124497" spans="31:32" x14ac:dyDescent="0.25">
      <c r="AE124497" s="36"/>
      <c r="AF124497" s="36"/>
    </row>
    <row r="124593" spans="31:32" x14ac:dyDescent="0.25">
      <c r="AE124593" s="34"/>
      <c r="AF124593" s="34"/>
    </row>
    <row r="124601" spans="31:32" x14ac:dyDescent="0.25">
      <c r="AE124601" s="36"/>
      <c r="AF124601" s="36"/>
    </row>
    <row r="124697" spans="31:32" x14ac:dyDescent="0.25">
      <c r="AE124697" s="34"/>
      <c r="AF124697" s="34"/>
    </row>
    <row r="124705" spans="31:32" x14ac:dyDescent="0.25">
      <c r="AE124705" s="36"/>
      <c r="AF124705" s="36"/>
    </row>
    <row r="124801" spans="31:32" x14ac:dyDescent="0.25">
      <c r="AE124801" s="34"/>
      <c r="AF124801" s="34"/>
    </row>
    <row r="124809" spans="31:32" x14ac:dyDescent="0.25">
      <c r="AE124809" s="36"/>
      <c r="AF124809" s="36"/>
    </row>
    <row r="124905" spans="31:32" x14ac:dyDescent="0.25">
      <c r="AE124905" s="34"/>
      <c r="AF124905" s="34"/>
    </row>
    <row r="124913" spans="31:32" x14ac:dyDescent="0.25">
      <c r="AE124913" s="36"/>
      <c r="AF124913" s="36"/>
    </row>
    <row r="125009" spans="31:32" x14ac:dyDescent="0.25">
      <c r="AE125009" s="34"/>
      <c r="AF125009" s="34"/>
    </row>
    <row r="125017" spans="31:32" x14ac:dyDescent="0.25">
      <c r="AE125017" s="36"/>
      <c r="AF125017" s="36"/>
    </row>
    <row r="125113" spans="31:32" x14ac:dyDescent="0.25">
      <c r="AE125113" s="34"/>
      <c r="AF125113" s="34"/>
    </row>
    <row r="125121" spans="31:32" x14ac:dyDescent="0.25">
      <c r="AE125121" s="36"/>
      <c r="AF125121" s="36"/>
    </row>
    <row r="125217" spans="31:32" x14ac:dyDescent="0.25">
      <c r="AE125217" s="34"/>
      <c r="AF125217" s="34"/>
    </row>
    <row r="125225" spans="31:32" x14ac:dyDescent="0.25">
      <c r="AE125225" s="36"/>
      <c r="AF125225" s="36"/>
    </row>
    <row r="125321" spans="31:32" x14ac:dyDescent="0.25">
      <c r="AE125321" s="34"/>
      <c r="AF125321" s="34"/>
    </row>
    <row r="125329" spans="31:32" x14ac:dyDescent="0.25">
      <c r="AE125329" s="36"/>
      <c r="AF125329" s="36"/>
    </row>
    <row r="125425" spans="31:32" x14ac:dyDescent="0.25">
      <c r="AE125425" s="34"/>
      <c r="AF125425" s="34"/>
    </row>
    <row r="125433" spans="31:32" x14ac:dyDescent="0.25">
      <c r="AE125433" s="36"/>
      <c r="AF125433" s="36"/>
    </row>
    <row r="125529" spans="31:32" x14ac:dyDescent="0.25">
      <c r="AE125529" s="34"/>
      <c r="AF125529" s="34"/>
    </row>
    <row r="125537" spans="31:32" x14ac:dyDescent="0.25">
      <c r="AE125537" s="36"/>
      <c r="AF125537" s="36"/>
    </row>
    <row r="125633" spans="31:32" x14ac:dyDescent="0.25">
      <c r="AE125633" s="34"/>
      <c r="AF125633" s="34"/>
    </row>
    <row r="125641" spans="31:32" x14ac:dyDescent="0.25">
      <c r="AE125641" s="36"/>
      <c r="AF125641" s="36"/>
    </row>
    <row r="125737" spans="31:32" x14ac:dyDescent="0.25">
      <c r="AE125737" s="34"/>
      <c r="AF125737" s="34"/>
    </row>
    <row r="125745" spans="31:32" x14ac:dyDescent="0.25">
      <c r="AE125745" s="36"/>
      <c r="AF125745" s="36"/>
    </row>
    <row r="125841" spans="31:32" x14ac:dyDescent="0.25">
      <c r="AE125841" s="34"/>
      <c r="AF125841" s="34"/>
    </row>
    <row r="125849" spans="31:32" x14ac:dyDescent="0.25">
      <c r="AE125849" s="36"/>
      <c r="AF125849" s="36"/>
    </row>
    <row r="125945" spans="31:32" x14ac:dyDescent="0.25">
      <c r="AE125945" s="34"/>
      <c r="AF125945" s="34"/>
    </row>
    <row r="125953" spans="31:32" x14ac:dyDescent="0.25">
      <c r="AE125953" s="36"/>
      <c r="AF125953" s="36"/>
    </row>
    <row r="126049" spans="31:32" x14ac:dyDescent="0.25">
      <c r="AE126049" s="34"/>
      <c r="AF126049" s="34"/>
    </row>
    <row r="126057" spans="31:32" x14ac:dyDescent="0.25">
      <c r="AE126057" s="36"/>
      <c r="AF126057" s="36"/>
    </row>
    <row r="126153" spans="31:32" x14ac:dyDescent="0.25">
      <c r="AE126153" s="34"/>
      <c r="AF126153" s="34"/>
    </row>
    <row r="126161" spans="31:32" x14ac:dyDescent="0.25">
      <c r="AE126161" s="36"/>
      <c r="AF126161" s="36"/>
    </row>
    <row r="126257" spans="31:32" x14ac:dyDescent="0.25">
      <c r="AE126257" s="34"/>
      <c r="AF126257" s="34"/>
    </row>
    <row r="126265" spans="31:32" x14ac:dyDescent="0.25">
      <c r="AE126265" s="36"/>
      <c r="AF126265" s="36"/>
    </row>
    <row r="126361" spans="31:32" x14ac:dyDescent="0.25">
      <c r="AE126361" s="34"/>
      <c r="AF126361" s="34"/>
    </row>
    <row r="126369" spans="31:32" x14ac:dyDescent="0.25">
      <c r="AE126369" s="36"/>
      <c r="AF126369" s="36"/>
    </row>
    <row r="126465" spans="31:32" x14ac:dyDescent="0.25">
      <c r="AE126465" s="34"/>
      <c r="AF126465" s="34"/>
    </row>
    <row r="126473" spans="31:32" x14ac:dyDescent="0.25">
      <c r="AE126473" s="36"/>
      <c r="AF126473" s="36"/>
    </row>
    <row r="126569" spans="31:32" x14ac:dyDescent="0.25">
      <c r="AE126569" s="34"/>
      <c r="AF126569" s="34"/>
    </row>
    <row r="126577" spans="31:32" x14ac:dyDescent="0.25">
      <c r="AE126577" s="36"/>
      <c r="AF126577" s="36"/>
    </row>
    <row r="126673" spans="31:32" x14ac:dyDescent="0.25">
      <c r="AE126673" s="34"/>
      <c r="AF126673" s="34"/>
    </row>
    <row r="126681" spans="31:32" x14ac:dyDescent="0.25">
      <c r="AE126681" s="36"/>
      <c r="AF126681" s="36"/>
    </row>
    <row r="126777" spans="31:32" x14ac:dyDescent="0.25">
      <c r="AE126777" s="34"/>
      <c r="AF126777" s="34"/>
    </row>
    <row r="126785" spans="31:32" x14ac:dyDescent="0.25">
      <c r="AE126785" s="36"/>
      <c r="AF126785" s="36"/>
    </row>
    <row r="126881" spans="31:32" x14ac:dyDescent="0.25">
      <c r="AE126881" s="34"/>
      <c r="AF126881" s="34"/>
    </row>
    <row r="126889" spans="31:32" x14ac:dyDescent="0.25">
      <c r="AE126889" s="36"/>
      <c r="AF126889" s="36"/>
    </row>
    <row r="126985" spans="31:32" x14ac:dyDescent="0.25">
      <c r="AE126985" s="34"/>
      <c r="AF126985" s="34"/>
    </row>
    <row r="126993" spans="31:32" x14ac:dyDescent="0.25">
      <c r="AE126993" s="36"/>
      <c r="AF126993" s="36"/>
    </row>
    <row r="127089" spans="31:32" x14ac:dyDescent="0.25">
      <c r="AE127089" s="34"/>
      <c r="AF127089" s="34"/>
    </row>
    <row r="127097" spans="31:32" x14ac:dyDescent="0.25">
      <c r="AE127097" s="36"/>
      <c r="AF127097" s="36"/>
    </row>
    <row r="127193" spans="31:32" x14ac:dyDescent="0.25">
      <c r="AE127193" s="34"/>
      <c r="AF127193" s="34"/>
    </row>
    <row r="127201" spans="31:32" x14ac:dyDescent="0.25">
      <c r="AE127201" s="36"/>
      <c r="AF127201" s="36"/>
    </row>
    <row r="127297" spans="31:32" x14ac:dyDescent="0.25">
      <c r="AE127297" s="34"/>
      <c r="AF127297" s="34"/>
    </row>
    <row r="127305" spans="31:32" x14ac:dyDescent="0.25">
      <c r="AE127305" s="36"/>
      <c r="AF127305" s="36"/>
    </row>
    <row r="127401" spans="31:32" x14ac:dyDescent="0.25">
      <c r="AE127401" s="34"/>
      <c r="AF127401" s="34"/>
    </row>
    <row r="127409" spans="31:32" x14ac:dyDescent="0.25">
      <c r="AE127409" s="36"/>
      <c r="AF127409" s="36"/>
    </row>
    <row r="127505" spans="31:32" x14ac:dyDescent="0.25">
      <c r="AE127505" s="34"/>
      <c r="AF127505" s="34"/>
    </row>
    <row r="127513" spans="31:32" x14ac:dyDescent="0.25">
      <c r="AE127513" s="36"/>
      <c r="AF127513" s="36"/>
    </row>
    <row r="127609" spans="31:32" x14ac:dyDescent="0.25">
      <c r="AE127609" s="34"/>
      <c r="AF127609" s="34"/>
    </row>
    <row r="127617" spans="31:32" x14ac:dyDescent="0.25">
      <c r="AE127617" s="36"/>
      <c r="AF127617" s="36"/>
    </row>
    <row r="127713" spans="31:32" x14ac:dyDescent="0.25">
      <c r="AE127713" s="34"/>
      <c r="AF127713" s="34"/>
    </row>
    <row r="127721" spans="31:32" x14ac:dyDescent="0.25">
      <c r="AE127721" s="36"/>
      <c r="AF127721" s="36"/>
    </row>
    <row r="127817" spans="31:32" x14ac:dyDescent="0.25">
      <c r="AE127817" s="34"/>
      <c r="AF127817" s="34"/>
    </row>
    <row r="127825" spans="31:32" x14ac:dyDescent="0.25">
      <c r="AE127825" s="36"/>
      <c r="AF127825" s="36"/>
    </row>
    <row r="127921" spans="31:32" x14ac:dyDescent="0.25">
      <c r="AE127921" s="34"/>
      <c r="AF127921" s="34"/>
    </row>
    <row r="127929" spans="31:32" x14ac:dyDescent="0.25">
      <c r="AE127929" s="36"/>
      <c r="AF127929" s="36"/>
    </row>
    <row r="128025" spans="31:32" x14ac:dyDescent="0.25">
      <c r="AE128025" s="34"/>
      <c r="AF128025" s="34"/>
    </row>
    <row r="128033" spans="31:32" x14ac:dyDescent="0.25">
      <c r="AE128033" s="36"/>
      <c r="AF128033" s="36"/>
    </row>
    <row r="128129" spans="31:32" x14ac:dyDescent="0.25">
      <c r="AE128129" s="34"/>
      <c r="AF128129" s="34"/>
    </row>
    <row r="128137" spans="31:32" x14ac:dyDescent="0.25">
      <c r="AE128137" s="36"/>
      <c r="AF128137" s="36"/>
    </row>
    <row r="128233" spans="31:32" x14ac:dyDescent="0.25">
      <c r="AE128233" s="34"/>
      <c r="AF128233" s="34"/>
    </row>
    <row r="128241" spans="31:32" x14ac:dyDescent="0.25">
      <c r="AE128241" s="36"/>
      <c r="AF128241" s="36"/>
    </row>
    <row r="128337" spans="31:32" x14ac:dyDescent="0.25">
      <c r="AE128337" s="34"/>
      <c r="AF128337" s="34"/>
    </row>
    <row r="128345" spans="31:32" x14ac:dyDescent="0.25">
      <c r="AE128345" s="36"/>
      <c r="AF128345" s="36"/>
    </row>
    <row r="128441" spans="31:32" x14ac:dyDescent="0.25">
      <c r="AE128441" s="34"/>
      <c r="AF128441" s="34"/>
    </row>
    <row r="128449" spans="31:32" x14ac:dyDescent="0.25">
      <c r="AE128449" s="36"/>
      <c r="AF128449" s="36"/>
    </row>
    <row r="128545" spans="31:32" x14ac:dyDescent="0.25">
      <c r="AE128545" s="34"/>
      <c r="AF128545" s="34"/>
    </row>
    <row r="128553" spans="31:32" x14ac:dyDescent="0.25">
      <c r="AE128553" s="36"/>
      <c r="AF128553" s="36"/>
    </row>
    <row r="128649" spans="31:32" x14ac:dyDescent="0.25">
      <c r="AE128649" s="34"/>
      <c r="AF128649" s="34"/>
    </row>
    <row r="128657" spans="31:32" x14ac:dyDescent="0.25">
      <c r="AE128657" s="36"/>
      <c r="AF128657" s="36"/>
    </row>
    <row r="128753" spans="31:32" x14ac:dyDescent="0.25">
      <c r="AE128753" s="34"/>
      <c r="AF128753" s="34"/>
    </row>
    <row r="128761" spans="31:32" x14ac:dyDescent="0.25">
      <c r="AE128761" s="36"/>
      <c r="AF128761" s="36"/>
    </row>
    <row r="128857" spans="31:32" x14ac:dyDescent="0.25">
      <c r="AE128857" s="34"/>
      <c r="AF128857" s="34"/>
    </row>
    <row r="128865" spans="31:32" x14ac:dyDescent="0.25">
      <c r="AE128865" s="36"/>
      <c r="AF128865" s="36"/>
    </row>
    <row r="128961" spans="31:32" x14ac:dyDescent="0.25">
      <c r="AE128961" s="34"/>
      <c r="AF128961" s="34"/>
    </row>
    <row r="128969" spans="31:32" x14ac:dyDescent="0.25">
      <c r="AE128969" s="36"/>
      <c r="AF128969" s="36"/>
    </row>
    <row r="129065" spans="31:32" x14ac:dyDescent="0.25">
      <c r="AE129065" s="34"/>
      <c r="AF129065" s="34"/>
    </row>
    <row r="129073" spans="31:32" x14ac:dyDescent="0.25">
      <c r="AE129073" s="36"/>
      <c r="AF129073" s="36"/>
    </row>
    <row r="129169" spans="31:32" x14ac:dyDescent="0.25">
      <c r="AE129169" s="34"/>
      <c r="AF129169" s="34"/>
    </row>
    <row r="129177" spans="31:32" x14ac:dyDescent="0.25">
      <c r="AE129177" s="36"/>
      <c r="AF129177" s="36"/>
    </row>
    <row r="129273" spans="31:32" x14ac:dyDescent="0.25">
      <c r="AE129273" s="34"/>
      <c r="AF129273" s="34"/>
    </row>
    <row r="129281" spans="31:32" x14ac:dyDescent="0.25">
      <c r="AE129281" s="36"/>
      <c r="AF129281" s="36"/>
    </row>
    <row r="129377" spans="31:32" x14ac:dyDescent="0.25">
      <c r="AE129377" s="34"/>
      <c r="AF129377" s="34"/>
    </row>
    <row r="129385" spans="31:32" x14ac:dyDescent="0.25">
      <c r="AE129385" s="36"/>
      <c r="AF129385" s="36"/>
    </row>
    <row r="129481" spans="31:32" x14ac:dyDescent="0.25">
      <c r="AE129481" s="34"/>
      <c r="AF129481" s="34"/>
    </row>
    <row r="129489" spans="31:32" x14ac:dyDescent="0.25">
      <c r="AE129489" s="36"/>
      <c r="AF129489" s="36"/>
    </row>
    <row r="129585" spans="31:32" x14ac:dyDescent="0.25">
      <c r="AE129585" s="34"/>
      <c r="AF129585" s="34"/>
    </row>
    <row r="129593" spans="31:32" x14ac:dyDescent="0.25">
      <c r="AE129593" s="36"/>
      <c r="AF129593" s="36"/>
    </row>
    <row r="129689" spans="31:32" x14ac:dyDescent="0.25">
      <c r="AE129689" s="34"/>
      <c r="AF129689" s="34"/>
    </row>
    <row r="129697" spans="31:32" x14ac:dyDescent="0.25">
      <c r="AE129697" s="36"/>
      <c r="AF129697" s="36"/>
    </row>
    <row r="129793" spans="31:32" x14ac:dyDescent="0.25">
      <c r="AE129793" s="34"/>
      <c r="AF129793" s="34"/>
    </row>
    <row r="129801" spans="31:32" x14ac:dyDescent="0.25">
      <c r="AE129801" s="36"/>
      <c r="AF129801" s="36"/>
    </row>
    <row r="129897" spans="31:32" x14ac:dyDescent="0.25">
      <c r="AE129897" s="34"/>
      <c r="AF129897" s="34"/>
    </row>
    <row r="129905" spans="31:32" x14ac:dyDescent="0.25">
      <c r="AE129905" s="36"/>
      <c r="AF129905" s="36"/>
    </row>
    <row r="130001" spans="31:32" x14ac:dyDescent="0.25">
      <c r="AE130001" s="34"/>
      <c r="AF130001" s="34"/>
    </row>
    <row r="130009" spans="31:32" x14ac:dyDescent="0.25">
      <c r="AE130009" s="36"/>
      <c r="AF130009" s="36"/>
    </row>
    <row r="130105" spans="31:32" x14ac:dyDescent="0.25">
      <c r="AE130105" s="34"/>
      <c r="AF130105" s="34"/>
    </row>
    <row r="130113" spans="31:32" x14ac:dyDescent="0.25">
      <c r="AE130113" s="36"/>
      <c r="AF130113" s="36"/>
    </row>
    <row r="130209" spans="31:32" x14ac:dyDescent="0.25">
      <c r="AE130209" s="34"/>
      <c r="AF130209" s="34"/>
    </row>
    <row r="130217" spans="31:32" x14ac:dyDescent="0.25">
      <c r="AE130217" s="36"/>
      <c r="AF130217" s="36"/>
    </row>
    <row r="130313" spans="31:32" x14ac:dyDescent="0.25">
      <c r="AE130313" s="34"/>
      <c r="AF130313" s="34"/>
    </row>
    <row r="130321" spans="31:32" x14ac:dyDescent="0.25">
      <c r="AE130321" s="36"/>
      <c r="AF130321" s="36"/>
    </row>
    <row r="130417" spans="31:32" x14ac:dyDescent="0.25">
      <c r="AE130417" s="34"/>
      <c r="AF130417" s="34"/>
    </row>
    <row r="130425" spans="31:32" x14ac:dyDescent="0.25">
      <c r="AE130425" s="36"/>
      <c r="AF130425" s="36"/>
    </row>
    <row r="130521" spans="31:32" x14ac:dyDescent="0.25">
      <c r="AE130521" s="34"/>
      <c r="AF130521" s="34"/>
    </row>
    <row r="130529" spans="31:32" x14ac:dyDescent="0.25">
      <c r="AE130529" s="36"/>
      <c r="AF130529" s="36"/>
    </row>
    <row r="130625" spans="31:32" x14ac:dyDescent="0.25">
      <c r="AE130625" s="34"/>
      <c r="AF130625" s="34"/>
    </row>
    <row r="130633" spans="31:32" x14ac:dyDescent="0.25">
      <c r="AE130633" s="36"/>
      <c r="AF130633" s="36"/>
    </row>
    <row r="130729" spans="31:32" x14ac:dyDescent="0.25">
      <c r="AE130729" s="34"/>
      <c r="AF130729" s="34"/>
    </row>
    <row r="130737" spans="31:32" x14ac:dyDescent="0.25">
      <c r="AE130737" s="36"/>
      <c r="AF130737" s="36"/>
    </row>
    <row r="130833" spans="31:32" x14ac:dyDescent="0.25">
      <c r="AE130833" s="34"/>
      <c r="AF130833" s="34"/>
    </row>
    <row r="130841" spans="31:32" x14ac:dyDescent="0.25">
      <c r="AE130841" s="36"/>
      <c r="AF130841" s="36"/>
    </row>
    <row r="130937" spans="31:32" x14ac:dyDescent="0.25">
      <c r="AE130937" s="34"/>
      <c r="AF130937" s="34"/>
    </row>
    <row r="130945" spans="31:32" x14ac:dyDescent="0.25">
      <c r="AE130945" s="36"/>
      <c r="AF130945" s="36"/>
    </row>
    <row r="131041" spans="31:32" x14ac:dyDescent="0.25">
      <c r="AE131041" s="34"/>
      <c r="AF131041" s="34"/>
    </row>
    <row r="131049" spans="31:32" x14ac:dyDescent="0.25">
      <c r="AE131049" s="36"/>
      <c r="AF131049" s="36"/>
    </row>
    <row r="131145" spans="31:32" x14ac:dyDescent="0.25">
      <c r="AE131145" s="34"/>
      <c r="AF131145" s="34"/>
    </row>
    <row r="131153" spans="31:32" x14ac:dyDescent="0.25">
      <c r="AE131153" s="36"/>
      <c r="AF131153" s="36"/>
    </row>
    <row r="131249" spans="31:32" x14ac:dyDescent="0.25">
      <c r="AE131249" s="34"/>
      <c r="AF131249" s="34"/>
    </row>
    <row r="131257" spans="31:32" x14ac:dyDescent="0.25">
      <c r="AE131257" s="36"/>
      <c r="AF131257" s="36"/>
    </row>
    <row r="131353" spans="31:32" x14ac:dyDescent="0.25">
      <c r="AE131353" s="34"/>
      <c r="AF131353" s="34"/>
    </row>
    <row r="131361" spans="31:32" x14ac:dyDescent="0.25">
      <c r="AE131361" s="36"/>
      <c r="AF131361" s="36"/>
    </row>
    <row r="131457" spans="31:32" x14ac:dyDescent="0.25">
      <c r="AE131457" s="34"/>
      <c r="AF131457" s="34"/>
    </row>
    <row r="131465" spans="31:32" x14ac:dyDescent="0.25">
      <c r="AE131465" s="36"/>
      <c r="AF131465" s="36"/>
    </row>
    <row r="131561" spans="31:32" x14ac:dyDescent="0.25">
      <c r="AE131561" s="34"/>
      <c r="AF131561" s="34"/>
    </row>
    <row r="131569" spans="31:32" x14ac:dyDescent="0.25">
      <c r="AE131569" s="36"/>
      <c r="AF131569" s="36"/>
    </row>
    <row r="131665" spans="31:32" x14ac:dyDescent="0.25">
      <c r="AE131665" s="34"/>
      <c r="AF131665" s="34"/>
    </row>
    <row r="131673" spans="31:32" x14ac:dyDescent="0.25">
      <c r="AE131673" s="36"/>
      <c r="AF131673" s="36"/>
    </row>
    <row r="131769" spans="31:32" x14ac:dyDescent="0.25">
      <c r="AE131769" s="34"/>
      <c r="AF131769" s="34"/>
    </row>
    <row r="131777" spans="31:32" x14ac:dyDescent="0.25">
      <c r="AE131777" s="36"/>
      <c r="AF131777" s="36"/>
    </row>
    <row r="131873" spans="31:32" x14ac:dyDescent="0.25">
      <c r="AE131873" s="34"/>
      <c r="AF131873" s="34"/>
    </row>
    <row r="131881" spans="31:32" x14ac:dyDescent="0.25">
      <c r="AE131881" s="36"/>
      <c r="AF131881" s="36"/>
    </row>
    <row r="131977" spans="31:32" x14ac:dyDescent="0.25">
      <c r="AE131977" s="34"/>
      <c r="AF131977" s="34"/>
    </row>
    <row r="131985" spans="31:32" x14ac:dyDescent="0.25">
      <c r="AE131985" s="36"/>
      <c r="AF131985" s="36"/>
    </row>
    <row r="132081" spans="31:32" x14ac:dyDescent="0.25">
      <c r="AE132081" s="34"/>
      <c r="AF132081" s="34"/>
    </row>
    <row r="132089" spans="31:32" x14ac:dyDescent="0.25">
      <c r="AE132089" s="36"/>
      <c r="AF132089" s="36"/>
    </row>
    <row r="132185" spans="31:32" x14ac:dyDescent="0.25">
      <c r="AE132185" s="34"/>
      <c r="AF132185" s="34"/>
    </row>
    <row r="132193" spans="31:32" x14ac:dyDescent="0.25">
      <c r="AE132193" s="36"/>
      <c r="AF132193" s="36"/>
    </row>
    <row r="132289" spans="31:32" x14ac:dyDescent="0.25">
      <c r="AE132289" s="34"/>
      <c r="AF132289" s="34"/>
    </row>
    <row r="132297" spans="31:32" x14ac:dyDescent="0.25">
      <c r="AE132297" s="36"/>
      <c r="AF132297" s="36"/>
    </row>
    <row r="132393" spans="31:32" x14ac:dyDescent="0.25">
      <c r="AE132393" s="34"/>
      <c r="AF132393" s="34"/>
    </row>
    <row r="132401" spans="31:32" x14ac:dyDescent="0.25">
      <c r="AE132401" s="36"/>
      <c r="AF132401" s="36"/>
    </row>
    <row r="132497" spans="31:32" x14ac:dyDescent="0.25">
      <c r="AE132497" s="34"/>
      <c r="AF132497" s="34"/>
    </row>
    <row r="132505" spans="31:32" x14ac:dyDescent="0.25">
      <c r="AE132505" s="36"/>
      <c r="AF132505" s="36"/>
    </row>
    <row r="132601" spans="31:32" x14ac:dyDescent="0.25">
      <c r="AE132601" s="34"/>
      <c r="AF132601" s="34"/>
    </row>
    <row r="132609" spans="31:32" x14ac:dyDescent="0.25">
      <c r="AE132609" s="36"/>
      <c r="AF132609" s="36"/>
    </row>
    <row r="132705" spans="31:32" x14ac:dyDescent="0.25">
      <c r="AE132705" s="34"/>
      <c r="AF132705" s="34"/>
    </row>
    <row r="132713" spans="31:32" x14ac:dyDescent="0.25">
      <c r="AE132713" s="36"/>
      <c r="AF132713" s="36"/>
    </row>
    <row r="132809" spans="31:32" x14ac:dyDescent="0.25">
      <c r="AE132809" s="34"/>
      <c r="AF132809" s="34"/>
    </row>
    <row r="132817" spans="31:32" x14ac:dyDescent="0.25">
      <c r="AE132817" s="36"/>
      <c r="AF132817" s="36"/>
    </row>
    <row r="132913" spans="31:32" x14ac:dyDescent="0.25">
      <c r="AE132913" s="34"/>
      <c r="AF132913" s="34"/>
    </row>
    <row r="132921" spans="31:32" x14ac:dyDescent="0.25">
      <c r="AE132921" s="36"/>
      <c r="AF132921" s="36"/>
    </row>
    <row r="133017" spans="31:32" x14ac:dyDescent="0.25">
      <c r="AE133017" s="34"/>
      <c r="AF133017" s="34"/>
    </row>
    <row r="133025" spans="31:32" x14ac:dyDescent="0.25">
      <c r="AE133025" s="36"/>
      <c r="AF133025" s="36"/>
    </row>
    <row r="133121" spans="31:32" x14ac:dyDescent="0.25">
      <c r="AE133121" s="34"/>
      <c r="AF133121" s="34"/>
    </row>
    <row r="133129" spans="31:32" x14ac:dyDescent="0.25">
      <c r="AE133129" s="36"/>
      <c r="AF133129" s="36"/>
    </row>
    <row r="133225" spans="31:32" x14ac:dyDescent="0.25">
      <c r="AE133225" s="34"/>
      <c r="AF133225" s="34"/>
    </row>
    <row r="133233" spans="31:32" x14ac:dyDescent="0.25">
      <c r="AE133233" s="36"/>
      <c r="AF133233" s="36"/>
    </row>
    <row r="133329" spans="31:32" x14ac:dyDescent="0.25">
      <c r="AE133329" s="34"/>
      <c r="AF133329" s="34"/>
    </row>
    <row r="133337" spans="31:32" x14ac:dyDescent="0.25">
      <c r="AE133337" s="36"/>
      <c r="AF133337" s="36"/>
    </row>
    <row r="133433" spans="31:32" x14ac:dyDescent="0.25">
      <c r="AE133433" s="34"/>
      <c r="AF133433" s="34"/>
    </row>
    <row r="133441" spans="31:32" x14ac:dyDescent="0.25">
      <c r="AE133441" s="36"/>
      <c r="AF133441" s="36"/>
    </row>
    <row r="133537" spans="31:32" x14ac:dyDescent="0.25">
      <c r="AE133537" s="34"/>
      <c r="AF133537" s="34"/>
    </row>
    <row r="133545" spans="31:32" x14ac:dyDescent="0.25">
      <c r="AE133545" s="36"/>
      <c r="AF133545" s="36"/>
    </row>
    <row r="133641" spans="31:32" x14ac:dyDescent="0.25">
      <c r="AE133641" s="34"/>
      <c r="AF133641" s="34"/>
    </row>
    <row r="133649" spans="31:32" x14ac:dyDescent="0.25">
      <c r="AE133649" s="36"/>
      <c r="AF133649" s="36"/>
    </row>
    <row r="133745" spans="31:32" x14ac:dyDescent="0.25">
      <c r="AE133745" s="34"/>
      <c r="AF133745" s="34"/>
    </row>
    <row r="133753" spans="31:32" x14ac:dyDescent="0.25">
      <c r="AE133753" s="36"/>
      <c r="AF133753" s="36"/>
    </row>
    <row r="133849" spans="31:32" x14ac:dyDescent="0.25">
      <c r="AE133849" s="34"/>
      <c r="AF133849" s="34"/>
    </row>
    <row r="133857" spans="31:32" x14ac:dyDescent="0.25">
      <c r="AE133857" s="36"/>
      <c r="AF133857" s="36"/>
    </row>
    <row r="133953" spans="31:32" x14ac:dyDescent="0.25">
      <c r="AE133953" s="34"/>
      <c r="AF133953" s="34"/>
    </row>
    <row r="133961" spans="31:32" x14ac:dyDescent="0.25">
      <c r="AE133961" s="36"/>
      <c r="AF133961" s="36"/>
    </row>
    <row r="134057" spans="31:32" x14ac:dyDescent="0.25">
      <c r="AE134057" s="34"/>
      <c r="AF134057" s="34"/>
    </row>
    <row r="134065" spans="31:32" x14ac:dyDescent="0.25">
      <c r="AE134065" s="36"/>
      <c r="AF134065" s="36"/>
    </row>
    <row r="134161" spans="31:32" x14ac:dyDescent="0.25">
      <c r="AE134161" s="34"/>
      <c r="AF134161" s="34"/>
    </row>
    <row r="134169" spans="31:32" x14ac:dyDescent="0.25">
      <c r="AE134169" s="36"/>
      <c r="AF134169" s="36"/>
    </row>
    <row r="134265" spans="31:32" x14ac:dyDescent="0.25">
      <c r="AE134265" s="34"/>
      <c r="AF134265" s="34"/>
    </row>
    <row r="134273" spans="31:32" x14ac:dyDescent="0.25">
      <c r="AE134273" s="36"/>
      <c r="AF134273" s="36"/>
    </row>
    <row r="134369" spans="31:32" x14ac:dyDescent="0.25">
      <c r="AE134369" s="34"/>
      <c r="AF134369" s="34"/>
    </row>
    <row r="134377" spans="31:32" x14ac:dyDescent="0.25">
      <c r="AE134377" s="36"/>
      <c r="AF134377" s="36"/>
    </row>
    <row r="134473" spans="31:32" x14ac:dyDescent="0.25">
      <c r="AE134473" s="34"/>
      <c r="AF134473" s="34"/>
    </row>
    <row r="134481" spans="31:32" x14ac:dyDescent="0.25">
      <c r="AE134481" s="36"/>
      <c r="AF134481" s="36"/>
    </row>
    <row r="134577" spans="31:32" x14ac:dyDescent="0.25">
      <c r="AE134577" s="34"/>
      <c r="AF134577" s="34"/>
    </row>
    <row r="134585" spans="31:32" x14ac:dyDescent="0.25">
      <c r="AE134585" s="36"/>
      <c r="AF134585" s="36"/>
    </row>
    <row r="134681" spans="31:32" x14ac:dyDescent="0.25">
      <c r="AE134681" s="34"/>
      <c r="AF134681" s="34"/>
    </row>
    <row r="134689" spans="31:32" x14ac:dyDescent="0.25">
      <c r="AE134689" s="36"/>
      <c r="AF134689" s="36"/>
    </row>
    <row r="134785" spans="31:32" x14ac:dyDescent="0.25">
      <c r="AE134785" s="34"/>
      <c r="AF134785" s="34"/>
    </row>
    <row r="134793" spans="31:32" x14ac:dyDescent="0.25">
      <c r="AE134793" s="36"/>
      <c r="AF134793" s="36"/>
    </row>
    <row r="134889" spans="31:32" x14ac:dyDescent="0.25">
      <c r="AE134889" s="34"/>
      <c r="AF134889" s="34"/>
    </row>
    <row r="134897" spans="31:32" x14ac:dyDescent="0.25">
      <c r="AE134897" s="36"/>
      <c r="AF134897" s="36"/>
    </row>
    <row r="134993" spans="31:32" x14ac:dyDescent="0.25">
      <c r="AE134993" s="34"/>
      <c r="AF134993" s="34"/>
    </row>
    <row r="135001" spans="31:32" x14ac:dyDescent="0.25">
      <c r="AE135001" s="36"/>
      <c r="AF135001" s="36"/>
    </row>
    <row r="135097" spans="31:32" x14ac:dyDescent="0.25">
      <c r="AE135097" s="34"/>
      <c r="AF135097" s="34"/>
    </row>
    <row r="135105" spans="31:32" x14ac:dyDescent="0.25">
      <c r="AE135105" s="36"/>
      <c r="AF135105" s="36"/>
    </row>
    <row r="135201" spans="31:32" x14ac:dyDescent="0.25">
      <c r="AE135201" s="34"/>
      <c r="AF135201" s="34"/>
    </row>
    <row r="135209" spans="31:32" x14ac:dyDescent="0.25">
      <c r="AE135209" s="36"/>
      <c r="AF135209" s="36"/>
    </row>
    <row r="135305" spans="31:32" x14ac:dyDescent="0.25">
      <c r="AE135305" s="34"/>
      <c r="AF135305" s="34"/>
    </row>
    <row r="135313" spans="31:32" x14ac:dyDescent="0.25">
      <c r="AE135313" s="36"/>
      <c r="AF135313" s="36"/>
    </row>
    <row r="135409" spans="31:32" x14ac:dyDescent="0.25">
      <c r="AE135409" s="34"/>
      <c r="AF135409" s="34"/>
    </row>
    <row r="135417" spans="31:32" x14ac:dyDescent="0.25">
      <c r="AE135417" s="36"/>
      <c r="AF135417" s="36"/>
    </row>
    <row r="135513" spans="31:32" x14ac:dyDescent="0.25">
      <c r="AE135513" s="34"/>
      <c r="AF135513" s="34"/>
    </row>
    <row r="135521" spans="31:32" x14ac:dyDescent="0.25">
      <c r="AE135521" s="36"/>
      <c r="AF135521" s="36"/>
    </row>
    <row r="135617" spans="31:32" x14ac:dyDescent="0.25">
      <c r="AE135617" s="34"/>
      <c r="AF135617" s="34"/>
    </row>
    <row r="135625" spans="31:32" x14ac:dyDescent="0.25">
      <c r="AE135625" s="36"/>
      <c r="AF135625" s="36"/>
    </row>
    <row r="135721" spans="31:32" x14ac:dyDescent="0.25">
      <c r="AE135721" s="34"/>
      <c r="AF135721" s="34"/>
    </row>
    <row r="135729" spans="31:32" x14ac:dyDescent="0.25">
      <c r="AE135729" s="36"/>
      <c r="AF135729" s="36"/>
    </row>
    <row r="135825" spans="31:32" x14ac:dyDescent="0.25">
      <c r="AE135825" s="34"/>
      <c r="AF135825" s="34"/>
    </row>
    <row r="135833" spans="31:32" x14ac:dyDescent="0.25">
      <c r="AE135833" s="36"/>
      <c r="AF135833" s="36"/>
    </row>
    <row r="135929" spans="31:32" x14ac:dyDescent="0.25">
      <c r="AE135929" s="34"/>
      <c r="AF135929" s="34"/>
    </row>
    <row r="135937" spans="31:32" x14ac:dyDescent="0.25">
      <c r="AE135937" s="36"/>
      <c r="AF135937" s="36"/>
    </row>
    <row r="136033" spans="31:32" x14ac:dyDescent="0.25">
      <c r="AE136033" s="34"/>
      <c r="AF136033" s="34"/>
    </row>
    <row r="136041" spans="31:32" x14ac:dyDescent="0.25">
      <c r="AE136041" s="36"/>
      <c r="AF136041" s="36"/>
    </row>
    <row r="136137" spans="31:32" x14ac:dyDescent="0.25">
      <c r="AE136137" s="34"/>
      <c r="AF136137" s="34"/>
    </row>
    <row r="136145" spans="31:32" x14ac:dyDescent="0.25">
      <c r="AE136145" s="36"/>
      <c r="AF136145" s="36"/>
    </row>
    <row r="136241" spans="31:32" x14ac:dyDescent="0.25">
      <c r="AE136241" s="34"/>
      <c r="AF136241" s="34"/>
    </row>
    <row r="136249" spans="31:32" x14ac:dyDescent="0.25">
      <c r="AE136249" s="36"/>
      <c r="AF136249" s="36"/>
    </row>
    <row r="136345" spans="31:32" x14ac:dyDescent="0.25">
      <c r="AE136345" s="34"/>
      <c r="AF136345" s="34"/>
    </row>
    <row r="136353" spans="31:32" x14ac:dyDescent="0.25">
      <c r="AE136353" s="36"/>
      <c r="AF136353" s="36"/>
    </row>
    <row r="136449" spans="31:32" x14ac:dyDescent="0.25">
      <c r="AE136449" s="34"/>
      <c r="AF136449" s="34"/>
    </row>
    <row r="136457" spans="31:32" x14ac:dyDescent="0.25">
      <c r="AE136457" s="36"/>
      <c r="AF136457" s="36"/>
    </row>
    <row r="136553" spans="31:32" x14ac:dyDescent="0.25">
      <c r="AE136553" s="34"/>
      <c r="AF136553" s="34"/>
    </row>
    <row r="136561" spans="31:32" x14ac:dyDescent="0.25">
      <c r="AE136561" s="36"/>
      <c r="AF136561" s="36"/>
    </row>
    <row r="136657" spans="31:32" x14ac:dyDescent="0.25">
      <c r="AE136657" s="34"/>
      <c r="AF136657" s="34"/>
    </row>
    <row r="136665" spans="31:32" x14ac:dyDescent="0.25">
      <c r="AE136665" s="36"/>
      <c r="AF136665" s="36"/>
    </row>
    <row r="136761" spans="31:32" x14ac:dyDescent="0.25">
      <c r="AE136761" s="34"/>
      <c r="AF136761" s="34"/>
    </row>
    <row r="136769" spans="31:32" x14ac:dyDescent="0.25">
      <c r="AE136769" s="36"/>
      <c r="AF136769" s="36"/>
    </row>
    <row r="136865" spans="31:32" x14ac:dyDescent="0.25">
      <c r="AE136865" s="34"/>
      <c r="AF136865" s="34"/>
    </row>
    <row r="136873" spans="31:32" x14ac:dyDescent="0.25">
      <c r="AE136873" s="36"/>
      <c r="AF136873" s="36"/>
    </row>
    <row r="136969" spans="31:32" x14ac:dyDescent="0.25">
      <c r="AE136969" s="34"/>
      <c r="AF136969" s="34"/>
    </row>
    <row r="136977" spans="31:32" x14ac:dyDescent="0.25">
      <c r="AE136977" s="36"/>
      <c r="AF136977" s="36"/>
    </row>
    <row r="137073" spans="31:32" x14ac:dyDescent="0.25">
      <c r="AE137073" s="34"/>
      <c r="AF137073" s="34"/>
    </row>
    <row r="137081" spans="31:32" x14ac:dyDescent="0.25">
      <c r="AE137081" s="36"/>
      <c r="AF137081" s="36"/>
    </row>
    <row r="137177" spans="31:32" x14ac:dyDescent="0.25">
      <c r="AE137177" s="34"/>
      <c r="AF137177" s="34"/>
    </row>
    <row r="137185" spans="31:32" x14ac:dyDescent="0.25">
      <c r="AE137185" s="36"/>
      <c r="AF137185" s="36"/>
    </row>
    <row r="137281" spans="31:32" x14ac:dyDescent="0.25">
      <c r="AE137281" s="34"/>
      <c r="AF137281" s="34"/>
    </row>
    <row r="137289" spans="31:32" x14ac:dyDescent="0.25">
      <c r="AE137289" s="36"/>
      <c r="AF137289" s="36"/>
    </row>
    <row r="137385" spans="31:32" x14ac:dyDescent="0.25">
      <c r="AE137385" s="34"/>
      <c r="AF137385" s="34"/>
    </row>
    <row r="137393" spans="31:32" x14ac:dyDescent="0.25">
      <c r="AE137393" s="36"/>
      <c r="AF137393" s="36"/>
    </row>
    <row r="137489" spans="31:32" x14ac:dyDescent="0.25">
      <c r="AE137489" s="34"/>
      <c r="AF137489" s="34"/>
    </row>
    <row r="137497" spans="31:32" x14ac:dyDescent="0.25">
      <c r="AE137497" s="36"/>
      <c r="AF137497" s="36"/>
    </row>
    <row r="137593" spans="31:32" x14ac:dyDescent="0.25">
      <c r="AE137593" s="34"/>
      <c r="AF137593" s="34"/>
    </row>
    <row r="137601" spans="31:32" x14ac:dyDescent="0.25">
      <c r="AE137601" s="36"/>
      <c r="AF137601" s="36"/>
    </row>
    <row r="137697" spans="31:32" x14ac:dyDescent="0.25">
      <c r="AE137697" s="34"/>
      <c r="AF137697" s="34"/>
    </row>
    <row r="137705" spans="31:32" x14ac:dyDescent="0.25">
      <c r="AE137705" s="36"/>
      <c r="AF137705" s="36"/>
    </row>
    <row r="137801" spans="31:32" x14ac:dyDescent="0.25">
      <c r="AE137801" s="34"/>
      <c r="AF137801" s="34"/>
    </row>
    <row r="137809" spans="31:32" x14ac:dyDescent="0.25">
      <c r="AE137809" s="36"/>
      <c r="AF137809" s="36"/>
    </row>
    <row r="137905" spans="31:32" x14ac:dyDescent="0.25">
      <c r="AE137905" s="34"/>
      <c r="AF137905" s="34"/>
    </row>
    <row r="137913" spans="31:32" x14ac:dyDescent="0.25">
      <c r="AE137913" s="36"/>
      <c r="AF137913" s="36"/>
    </row>
    <row r="138009" spans="31:32" x14ac:dyDescent="0.25">
      <c r="AE138009" s="34"/>
      <c r="AF138009" s="34"/>
    </row>
    <row r="138017" spans="31:32" x14ac:dyDescent="0.25">
      <c r="AE138017" s="36"/>
      <c r="AF138017" s="36"/>
    </row>
    <row r="138113" spans="31:32" x14ac:dyDescent="0.25">
      <c r="AE138113" s="34"/>
      <c r="AF138113" s="34"/>
    </row>
    <row r="138121" spans="31:32" x14ac:dyDescent="0.25">
      <c r="AE138121" s="36"/>
      <c r="AF138121" s="36"/>
    </row>
    <row r="138217" spans="31:32" x14ac:dyDescent="0.25">
      <c r="AE138217" s="34"/>
      <c r="AF138217" s="34"/>
    </row>
    <row r="138225" spans="31:32" x14ac:dyDescent="0.25">
      <c r="AE138225" s="36"/>
      <c r="AF138225" s="36"/>
    </row>
    <row r="138321" spans="31:32" x14ac:dyDescent="0.25">
      <c r="AE138321" s="34"/>
      <c r="AF138321" s="34"/>
    </row>
    <row r="138329" spans="31:32" x14ac:dyDescent="0.25">
      <c r="AE138329" s="36"/>
      <c r="AF138329" s="36"/>
    </row>
    <row r="138425" spans="31:32" x14ac:dyDescent="0.25">
      <c r="AE138425" s="34"/>
      <c r="AF138425" s="34"/>
    </row>
    <row r="138433" spans="31:32" x14ac:dyDescent="0.25">
      <c r="AE138433" s="36"/>
      <c r="AF138433" s="36"/>
    </row>
    <row r="138529" spans="31:32" x14ac:dyDescent="0.25">
      <c r="AE138529" s="34"/>
      <c r="AF138529" s="34"/>
    </row>
    <row r="138537" spans="31:32" x14ac:dyDescent="0.25">
      <c r="AE138537" s="36"/>
      <c r="AF138537" s="36"/>
    </row>
    <row r="138633" spans="31:32" x14ac:dyDescent="0.25">
      <c r="AE138633" s="34"/>
      <c r="AF138633" s="34"/>
    </row>
    <row r="138641" spans="31:32" x14ac:dyDescent="0.25">
      <c r="AE138641" s="36"/>
      <c r="AF138641" s="36"/>
    </row>
    <row r="138737" spans="31:32" x14ac:dyDescent="0.25">
      <c r="AE138737" s="34"/>
      <c r="AF138737" s="34"/>
    </row>
    <row r="138745" spans="31:32" x14ac:dyDescent="0.25">
      <c r="AE138745" s="36"/>
      <c r="AF138745" s="36"/>
    </row>
    <row r="138841" spans="31:32" x14ac:dyDescent="0.25">
      <c r="AE138841" s="34"/>
      <c r="AF138841" s="34"/>
    </row>
    <row r="138849" spans="31:32" x14ac:dyDescent="0.25">
      <c r="AE138849" s="36"/>
      <c r="AF138849" s="36"/>
    </row>
    <row r="138945" spans="31:32" x14ac:dyDescent="0.25">
      <c r="AE138945" s="34"/>
      <c r="AF138945" s="34"/>
    </row>
    <row r="138953" spans="31:32" x14ac:dyDescent="0.25">
      <c r="AE138953" s="36"/>
      <c r="AF138953" s="36"/>
    </row>
    <row r="139049" spans="31:32" x14ac:dyDescent="0.25">
      <c r="AE139049" s="34"/>
      <c r="AF139049" s="34"/>
    </row>
    <row r="139057" spans="31:32" x14ac:dyDescent="0.25">
      <c r="AE139057" s="36"/>
      <c r="AF139057" s="36"/>
    </row>
    <row r="139153" spans="31:32" x14ac:dyDescent="0.25">
      <c r="AE139153" s="34"/>
      <c r="AF139153" s="34"/>
    </row>
    <row r="139161" spans="31:32" x14ac:dyDescent="0.25">
      <c r="AE139161" s="36"/>
      <c r="AF139161" s="36"/>
    </row>
    <row r="139257" spans="31:32" x14ac:dyDescent="0.25">
      <c r="AE139257" s="34"/>
      <c r="AF139257" s="34"/>
    </row>
    <row r="139265" spans="31:32" x14ac:dyDescent="0.25">
      <c r="AE139265" s="36"/>
      <c r="AF139265" s="36"/>
    </row>
    <row r="139361" spans="31:32" x14ac:dyDescent="0.25">
      <c r="AE139361" s="34"/>
      <c r="AF139361" s="34"/>
    </row>
    <row r="139369" spans="31:32" x14ac:dyDescent="0.25">
      <c r="AE139369" s="36"/>
      <c r="AF139369" s="36"/>
    </row>
    <row r="139465" spans="31:32" x14ac:dyDescent="0.25">
      <c r="AE139465" s="34"/>
      <c r="AF139465" s="34"/>
    </row>
    <row r="139473" spans="31:32" x14ac:dyDescent="0.25">
      <c r="AE139473" s="36"/>
      <c r="AF139473" s="36"/>
    </row>
    <row r="139569" spans="31:32" x14ac:dyDescent="0.25">
      <c r="AE139569" s="34"/>
      <c r="AF139569" s="34"/>
    </row>
    <row r="139577" spans="31:32" x14ac:dyDescent="0.25">
      <c r="AE139577" s="36"/>
      <c r="AF139577" s="36"/>
    </row>
    <row r="139673" spans="31:32" x14ac:dyDescent="0.25">
      <c r="AE139673" s="34"/>
      <c r="AF139673" s="34"/>
    </row>
    <row r="139681" spans="31:32" x14ac:dyDescent="0.25">
      <c r="AE139681" s="36"/>
      <c r="AF139681" s="36"/>
    </row>
    <row r="139777" spans="31:32" x14ac:dyDescent="0.25">
      <c r="AE139777" s="34"/>
      <c r="AF139777" s="34"/>
    </row>
    <row r="139785" spans="31:32" x14ac:dyDescent="0.25">
      <c r="AE139785" s="36"/>
      <c r="AF139785" s="36"/>
    </row>
    <row r="139881" spans="31:32" x14ac:dyDescent="0.25">
      <c r="AE139881" s="34"/>
      <c r="AF139881" s="34"/>
    </row>
    <row r="139889" spans="31:32" x14ac:dyDescent="0.25">
      <c r="AE139889" s="36"/>
      <c r="AF139889" s="36"/>
    </row>
    <row r="139985" spans="31:32" x14ac:dyDescent="0.25">
      <c r="AE139985" s="34"/>
      <c r="AF139985" s="34"/>
    </row>
    <row r="139993" spans="31:32" x14ac:dyDescent="0.25">
      <c r="AE139993" s="36"/>
      <c r="AF139993" s="36"/>
    </row>
    <row r="140089" spans="31:32" x14ac:dyDescent="0.25">
      <c r="AE140089" s="34"/>
      <c r="AF140089" s="34"/>
    </row>
    <row r="140097" spans="31:32" x14ac:dyDescent="0.25">
      <c r="AE140097" s="36"/>
      <c r="AF140097" s="36"/>
    </row>
    <row r="140193" spans="31:32" x14ac:dyDescent="0.25">
      <c r="AE140193" s="34"/>
      <c r="AF140193" s="34"/>
    </row>
    <row r="140201" spans="31:32" x14ac:dyDescent="0.25">
      <c r="AE140201" s="36"/>
      <c r="AF140201" s="36"/>
    </row>
    <row r="140297" spans="31:32" x14ac:dyDescent="0.25">
      <c r="AE140297" s="34"/>
      <c r="AF140297" s="34"/>
    </row>
    <row r="140305" spans="31:32" x14ac:dyDescent="0.25">
      <c r="AE140305" s="36"/>
      <c r="AF140305" s="36"/>
    </row>
    <row r="140401" spans="31:32" x14ac:dyDescent="0.25">
      <c r="AE140401" s="34"/>
      <c r="AF140401" s="34"/>
    </row>
    <row r="140409" spans="31:32" x14ac:dyDescent="0.25">
      <c r="AE140409" s="36"/>
      <c r="AF140409" s="36"/>
    </row>
    <row r="140505" spans="31:32" x14ac:dyDescent="0.25">
      <c r="AE140505" s="34"/>
      <c r="AF140505" s="34"/>
    </row>
    <row r="140513" spans="31:32" x14ac:dyDescent="0.25">
      <c r="AE140513" s="36"/>
      <c r="AF140513" s="36"/>
    </row>
    <row r="140609" spans="31:32" x14ac:dyDescent="0.25">
      <c r="AE140609" s="34"/>
      <c r="AF140609" s="34"/>
    </row>
    <row r="140617" spans="31:32" x14ac:dyDescent="0.25">
      <c r="AE140617" s="36"/>
      <c r="AF140617" s="36"/>
    </row>
    <row r="140713" spans="31:32" x14ac:dyDescent="0.25">
      <c r="AE140713" s="34"/>
      <c r="AF140713" s="34"/>
    </row>
    <row r="140721" spans="31:32" x14ac:dyDescent="0.25">
      <c r="AE140721" s="36"/>
      <c r="AF140721" s="36"/>
    </row>
    <row r="140817" spans="31:32" x14ac:dyDescent="0.25">
      <c r="AE140817" s="34"/>
      <c r="AF140817" s="34"/>
    </row>
    <row r="140825" spans="31:32" x14ac:dyDescent="0.25">
      <c r="AE140825" s="36"/>
      <c r="AF140825" s="36"/>
    </row>
    <row r="140921" spans="31:32" x14ac:dyDescent="0.25">
      <c r="AE140921" s="34"/>
      <c r="AF140921" s="34"/>
    </row>
    <row r="140929" spans="31:32" x14ac:dyDescent="0.25">
      <c r="AE140929" s="36"/>
      <c r="AF140929" s="36"/>
    </row>
    <row r="141025" spans="31:32" x14ac:dyDescent="0.25">
      <c r="AE141025" s="34"/>
      <c r="AF141025" s="34"/>
    </row>
    <row r="141033" spans="31:32" x14ac:dyDescent="0.25">
      <c r="AE141033" s="36"/>
      <c r="AF141033" s="36"/>
    </row>
    <row r="141129" spans="31:32" x14ac:dyDescent="0.25">
      <c r="AE141129" s="34"/>
      <c r="AF141129" s="34"/>
    </row>
    <row r="141137" spans="31:32" x14ac:dyDescent="0.25">
      <c r="AE141137" s="36"/>
      <c r="AF141137" s="36"/>
    </row>
    <row r="141233" spans="31:32" x14ac:dyDescent="0.25">
      <c r="AE141233" s="34"/>
      <c r="AF141233" s="34"/>
    </row>
    <row r="141241" spans="31:32" x14ac:dyDescent="0.25">
      <c r="AE141241" s="36"/>
      <c r="AF141241" s="36"/>
    </row>
    <row r="141337" spans="31:32" x14ac:dyDescent="0.25">
      <c r="AE141337" s="34"/>
      <c r="AF141337" s="34"/>
    </row>
    <row r="141345" spans="31:32" x14ac:dyDescent="0.25">
      <c r="AE141345" s="36"/>
      <c r="AF141345" s="36"/>
    </row>
    <row r="141441" spans="31:32" x14ac:dyDescent="0.25">
      <c r="AE141441" s="34"/>
      <c r="AF141441" s="34"/>
    </row>
    <row r="141449" spans="31:32" x14ac:dyDescent="0.25">
      <c r="AE141449" s="36"/>
      <c r="AF141449" s="36"/>
    </row>
    <row r="141545" spans="31:32" x14ac:dyDescent="0.25">
      <c r="AE141545" s="34"/>
      <c r="AF141545" s="34"/>
    </row>
    <row r="141553" spans="31:32" x14ac:dyDescent="0.25">
      <c r="AE141553" s="36"/>
      <c r="AF141553" s="36"/>
    </row>
    <row r="141649" spans="31:32" x14ac:dyDescent="0.25">
      <c r="AE141649" s="34"/>
      <c r="AF141649" s="34"/>
    </row>
    <row r="141657" spans="31:32" x14ac:dyDescent="0.25">
      <c r="AE141657" s="36"/>
      <c r="AF141657" s="36"/>
    </row>
    <row r="141753" spans="31:32" x14ac:dyDescent="0.25">
      <c r="AE141753" s="34"/>
      <c r="AF141753" s="34"/>
    </row>
    <row r="141761" spans="31:32" x14ac:dyDescent="0.25">
      <c r="AE141761" s="36"/>
      <c r="AF141761" s="36"/>
    </row>
    <row r="141857" spans="31:32" x14ac:dyDescent="0.25">
      <c r="AE141857" s="34"/>
      <c r="AF141857" s="34"/>
    </row>
    <row r="141865" spans="31:32" x14ac:dyDescent="0.25">
      <c r="AE141865" s="36"/>
      <c r="AF141865" s="36"/>
    </row>
    <row r="141961" spans="31:32" x14ac:dyDescent="0.25">
      <c r="AE141961" s="34"/>
      <c r="AF141961" s="34"/>
    </row>
    <row r="141969" spans="31:32" x14ac:dyDescent="0.25">
      <c r="AE141969" s="36"/>
      <c r="AF141969" s="36"/>
    </row>
    <row r="142065" spans="31:32" x14ac:dyDescent="0.25">
      <c r="AE142065" s="34"/>
      <c r="AF142065" s="34"/>
    </row>
    <row r="142073" spans="31:32" x14ac:dyDescent="0.25">
      <c r="AE142073" s="36"/>
      <c r="AF142073" s="36"/>
    </row>
    <row r="142169" spans="31:32" x14ac:dyDescent="0.25">
      <c r="AE142169" s="34"/>
      <c r="AF142169" s="34"/>
    </row>
    <row r="142177" spans="31:32" x14ac:dyDescent="0.25">
      <c r="AE142177" s="36"/>
      <c r="AF142177" s="36"/>
    </row>
    <row r="142273" spans="31:32" x14ac:dyDescent="0.25">
      <c r="AE142273" s="34"/>
      <c r="AF142273" s="34"/>
    </row>
    <row r="142281" spans="31:32" x14ac:dyDescent="0.25">
      <c r="AE142281" s="36"/>
      <c r="AF142281" s="36"/>
    </row>
    <row r="142377" spans="31:32" x14ac:dyDescent="0.25">
      <c r="AE142377" s="34"/>
      <c r="AF142377" s="34"/>
    </row>
    <row r="142385" spans="31:32" x14ac:dyDescent="0.25">
      <c r="AE142385" s="36"/>
      <c r="AF142385" s="36"/>
    </row>
    <row r="142481" spans="31:32" x14ac:dyDescent="0.25">
      <c r="AE142481" s="34"/>
      <c r="AF142481" s="34"/>
    </row>
    <row r="142489" spans="31:32" x14ac:dyDescent="0.25">
      <c r="AE142489" s="36"/>
      <c r="AF142489" s="36"/>
    </row>
    <row r="142585" spans="31:32" x14ac:dyDescent="0.25">
      <c r="AE142585" s="34"/>
      <c r="AF142585" s="34"/>
    </row>
    <row r="142593" spans="31:32" x14ac:dyDescent="0.25">
      <c r="AE142593" s="36"/>
      <c r="AF142593" s="36"/>
    </row>
    <row r="142689" spans="31:32" x14ac:dyDescent="0.25">
      <c r="AE142689" s="34"/>
      <c r="AF142689" s="34"/>
    </row>
    <row r="142697" spans="31:32" x14ac:dyDescent="0.25">
      <c r="AE142697" s="36"/>
      <c r="AF142697" s="36"/>
    </row>
    <row r="142793" spans="31:32" x14ac:dyDescent="0.25">
      <c r="AE142793" s="34"/>
      <c r="AF142793" s="34"/>
    </row>
    <row r="142801" spans="31:32" x14ac:dyDescent="0.25">
      <c r="AE142801" s="36"/>
      <c r="AF142801" s="36"/>
    </row>
    <row r="142897" spans="31:32" x14ac:dyDescent="0.25">
      <c r="AE142897" s="34"/>
      <c r="AF142897" s="34"/>
    </row>
    <row r="142905" spans="31:32" x14ac:dyDescent="0.25">
      <c r="AE142905" s="36"/>
      <c r="AF142905" s="36"/>
    </row>
    <row r="143001" spans="31:32" x14ac:dyDescent="0.25">
      <c r="AE143001" s="34"/>
      <c r="AF143001" s="34"/>
    </row>
    <row r="143009" spans="31:32" x14ac:dyDescent="0.25">
      <c r="AE143009" s="36"/>
      <c r="AF143009" s="36"/>
    </row>
    <row r="143105" spans="31:32" x14ac:dyDescent="0.25">
      <c r="AE143105" s="34"/>
      <c r="AF143105" s="34"/>
    </row>
    <row r="143113" spans="31:32" x14ac:dyDescent="0.25">
      <c r="AE143113" s="36"/>
      <c r="AF143113" s="36"/>
    </row>
    <row r="143209" spans="31:32" x14ac:dyDescent="0.25">
      <c r="AE143209" s="34"/>
      <c r="AF143209" s="34"/>
    </row>
    <row r="143217" spans="31:32" x14ac:dyDescent="0.25">
      <c r="AE143217" s="36"/>
      <c r="AF143217" s="36"/>
    </row>
    <row r="143313" spans="31:32" x14ac:dyDescent="0.25">
      <c r="AE143313" s="34"/>
      <c r="AF143313" s="34"/>
    </row>
    <row r="143321" spans="31:32" x14ac:dyDescent="0.25">
      <c r="AE143321" s="36"/>
      <c r="AF143321" s="36"/>
    </row>
    <row r="143417" spans="31:32" x14ac:dyDescent="0.25">
      <c r="AE143417" s="34"/>
      <c r="AF143417" s="34"/>
    </row>
    <row r="143425" spans="31:32" x14ac:dyDescent="0.25">
      <c r="AE143425" s="36"/>
      <c r="AF143425" s="36"/>
    </row>
    <row r="143521" spans="31:32" x14ac:dyDescent="0.25">
      <c r="AE143521" s="34"/>
      <c r="AF143521" s="34"/>
    </row>
    <row r="143529" spans="31:32" x14ac:dyDescent="0.25">
      <c r="AE143529" s="36"/>
      <c r="AF143529" s="36"/>
    </row>
    <row r="143625" spans="31:32" x14ac:dyDescent="0.25">
      <c r="AE143625" s="34"/>
      <c r="AF143625" s="34"/>
    </row>
    <row r="143633" spans="31:32" x14ac:dyDescent="0.25">
      <c r="AE143633" s="36"/>
      <c r="AF143633" s="36"/>
    </row>
    <row r="143729" spans="31:32" x14ac:dyDescent="0.25">
      <c r="AE143729" s="34"/>
      <c r="AF143729" s="34"/>
    </row>
    <row r="143737" spans="31:32" x14ac:dyDescent="0.25">
      <c r="AE143737" s="36"/>
      <c r="AF143737" s="36"/>
    </row>
    <row r="143833" spans="31:32" x14ac:dyDescent="0.25">
      <c r="AE143833" s="34"/>
      <c r="AF143833" s="34"/>
    </row>
    <row r="143841" spans="31:32" x14ac:dyDescent="0.25">
      <c r="AE143841" s="36"/>
      <c r="AF143841" s="36"/>
    </row>
    <row r="143937" spans="31:32" x14ac:dyDescent="0.25">
      <c r="AE143937" s="34"/>
      <c r="AF143937" s="34"/>
    </row>
    <row r="143945" spans="31:32" x14ac:dyDescent="0.25">
      <c r="AE143945" s="36"/>
      <c r="AF143945" s="36"/>
    </row>
    <row r="144041" spans="31:32" x14ac:dyDescent="0.25">
      <c r="AE144041" s="34"/>
      <c r="AF144041" s="34"/>
    </row>
    <row r="144049" spans="31:32" x14ac:dyDescent="0.25">
      <c r="AE144049" s="36"/>
      <c r="AF144049" s="36"/>
    </row>
    <row r="144145" spans="31:32" x14ac:dyDescent="0.25">
      <c r="AE144145" s="34"/>
      <c r="AF144145" s="34"/>
    </row>
    <row r="144153" spans="31:32" x14ac:dyDescent="0.25">
      <c r="AE144153" s="36"/>
      <c r="AF144153" s="36"/>
    </row>
    <row r="144249" spans="31:32" x14ac:dyDescent="0.25">
      <c r="AE144249" s="34"/>
      <c r="AF144249" s="34"/>
    </row>
    <row r="144257" spans="31:32" x14ac:dyDescent="0.25">
      <c r="AE144257" s="36"/>
      <c r="AF144257" s="36"/>
    </row>
    <row r="144353" spans="31:32" x14ac:dyDescent="0.25">
      <c r="AE144353" s="34"/>
      <c r="AF144353" s="34"/>
    </row>
    <row r="144361" spans="31:32" x14ac:dyDescent="0.25">
      <c r="AE144361" s="36"/>
      <c r="AF144361" s="36"/>
    </row>
    <row r="144457" spans="31:32" x14ac:dyDescent="0.25">
      <c r="AE144457" s="34"/>
      <c r="AF144457" s="34"/>
    </row>
    <row r="144465" spans="31:32" x14ac:dyDescent="0.25">
      <c r="AE144465" s="36"/>
      <c r="AF144465" s="36"/>
    </row>
    <row r="144561" spans="31:32" x14ac:dyDescent="0.25">
      <c r="AE144561" s="34"/>
      <c r="AF144561" s="34"/>
    </row>
    <row r="144569" spans="31:32" x14ac:dyDescent="0.25">
      <c r="AE144569" s="36"/>
      <c r="AF144569" s="36"/>
    </row>
    <row r="144665" spans="31:32" x14ac:dyDescent="0.25">
      <c r="AE144665" s="34"/>
      <c r="AF144665" s="34"/>
    </row>
    <row r="144673" spans="31:32" x14ac:dyDescent="0.25">
      <c r="AE144673" s="36"/>
      <c r="AF144673" s="36"/>
    </row>
    <row r="144769" spans="31:32" x14ac:dyDescent="0.25">
      <c r="AE144769" s="34"/>
      <c r="AF144769" s="34"/>
    </row>
    <row r="144777" spans="31:32" x14ac:dyDescent="0.25">
      <c r="AE144777" s="36"/>
      <c r="AF144777" s="36"/>
    </row>
    <row r="144873" spans="31:32" x14ac:dyDescent="0.25">
      <c r="AE144873" s="34"/>
      <c r="AF144873" s="34"/>
    </row>
    <row r="144881" spans="31:32" x14ac:dyDescent="0.25">
      <c r="AE144881" s="36"/>
      <c r="AF144881" s="36"/>
    </row>
    <row r="144977" spans="31:32" x14ac:dyDescent="0.25">
      <c r="AE144977" s="34"/>
      <c r="AF144977" s="34"/>
    </row>
    <row r="144985" spans="31:32" x14ac:dyDescent="0.25">
      <c r="AE144985" s="36"/>
      <c r="AF144985" s="36"/>
    </row>
    <row r="145081" spans="31:32" x14ac:dyDescent="0.25">
      <c r="AE145081" s="34"/>
      <c r="AF145081" s="34"/>
    </row>
    <row r="145089" spans="31:32" x14ac:dyDescent="0.25">
      <c r="AE145089" s="36"/>
      <c r="AF145089" s="36"/>
    </row>
    <row r="145185" spans="31:32" x14ac:dyDescent="0.25">
      <c r="AE145185" s="34"/>
      <c r="AF145185" s="34"/>
    </row>
    <row r="145193" spans="31:32" x14ac:dyDescent="0.25">
      <c r="AE145193" s="36"/>
      <c r="AF145193" s="36"/>
    </row>
    <row r="145289" spans="31:32" x14ac:dyDescent="0.25">
      <c r="AE145289" s="34"/>
      <c r="AF145289" s="34"/>
    </row>
    <row r="145297" spans="31:32" x14ac:dyDescent="0.25">
      <c r="AE145297" s="36"/>
      <c r="AF145297" s="36"/>
    </row>
    <row r="145393" spans="31:32" x14ac:dyDescent="0.25">
      <c r="AE145393" s="34"/>
      <c r="AF145393" s="34"/>
    </row>
    <row r="145401" spans="31:32" x14ac:dyDescent="0.25">
      <c r="AE145401" s="36"/>
      <c r="AF145401" s="36"/>
    </row>
    <row r="145497" spans="31:32" x14ac:dyDescent="0.25">
      <c r="AE145497" s="34"/>
      <c r="AF145497" s="34"/>
    </row>
    <row r="145505" spans="31:32" x14ac:dyDescent="0.25">
      <c r="AE145505" s="36"/>
      <c r="AF145505" s="36"/>
    </row>
    <row r="145601" spans="31:32" x14ac:dyDescent="0.25">
      <c r="AE145601" s="34"/>
      <c r="AF145601" s="34"/>
    </row>
    <row r="145609" spans="31:32" x14ac:dyDescent="0.25">
      <c r="AE145609" s="36"/>
      <c r="AF145609" s="36"/>
    </row>
    <row r="145705" spans="31:32" x14ac:dyDescent="0.25">
      <c r="AE145705" s="34"/>
      <c r="AF145705" s="34"/>
    </row>
    <row r="145713" spans="31:32" x14ac:dyDescent="0.25">
      <c r="AE145713" s="36"/>
      <c r="AF145713" s="36"/>
    </row>
    <row r="145809" spans="31:32" x14ac:dyDescent="0.25">
      <c r="AE145809" s="34"/>
      <c r="AF145809" s="34"/>
    </row>
    <row r="145817" spans="31:32" x14ac:dyDescent="0.25">
      <c r="AE145817" s="36"/>
      <c r="AF145817" s="36"/>
    </row>
    <row r="145913" spans="31:32" x14ac:dyDescent="0.25">
      <c r="AE145913" s="34"/>
      <c r="AF145913" s="34"/>
    </row>
    <row r="145921" spans="31:32" x14ac:dyDescent="0.25">
      <c r="AE145921" s="36"/>
      <c r="AF145921" s="36"/>
    </row>
    <row r="146017" spans="31:32" x14ac:dyDescent="0.25">
      <c r="AE146017" s="34"/>
      <c r="AF146017" s="34"/>
    </row>
    <row r="146025" spans="31:32" x14ac:dyDescent="0.25">
      <c r="AE146025" s="36"/>
      <c r="AF146025" s="36"/>
    </row>
    <row r="146121" spans="31:32" x14ac:dyDescent="0.25">
      <c r="AE146121" s="34"/>
      <c r="AF146121" s="34"/>
    </row>
    <row r="146129" spans="31:32" x14ac:dyDescent="0.25">
      <c r="AE146129" s="36"/>
      <c r="AF146129" s="36"/>
    </row>
    <row r="146225" spans="31:32" x14ac:dyDescent="0.25">
      <c r="AE146225" s="34"/>
      <c r="AF146225" s="34"/>
    </row>
    <row r="146233" spans="31:32" x14ac:dyDescent="0.25">
      <c r="AE146233" s="36"/>
      <c r="AF146233" s="36"/>
    </row>
    <row r="146329" spans="31:32" x14ac:dyDescent="0.25">
      <c r="AE146329" s="34"/>
      <c r="AF146329" s="34"/>
    </row>
    <row r="146337" spans="31:32" x14ac:dyDescent="0.25">
      <c r="AE146337" s="36"/>
      <c r="AF146337" s="36"/>
    </row>
    <row r="146433" spans="31:32" x14ac:dyDescent="0.25">
      <c r="AE146433" s="34"/>
      <c r="AF146433" s="34"/>
    </row>
    <row r="146441" spans="31:32" x14ac:dyDescent="0.25">
      <c r="AE146441" s="36"/>
      <c r="AF146441" s="36"/>
    </row>
    <row r="146537" spans="31:32" x14ac:dyDescent="0.25">
      <c r="AE146537" s="34"/>
      <c r="AF146537" s="34"/>
    </row>
    <row r="146545" spans="31:32" x14ac:dyDescent="0.25">
      <c r="AE146545" s="36"/>
      <c r="AF146545" s="36"/>
    </row>
    <row r="146641" spans="31:32" x14ac:dyDescent="0.25">
      <c r="AE146641" s="34"/>
      <c r="AF146641" s="34"/>
    </row>
    <row r="146649" spans="31:32" x14ac:dyDescent="0.25">
      <c r="AE146649" s="36"/>
      <c r="AF146649" s="36"/>
    </row>
    <row r="146745" spans="31:32" x14ac:dyDescent="0.25">
      <c r="AE146745" s="34"/>
      <c r="AF146745" s="34"/>
    </row>
    <row r="146753" spans="31:32" x14ac:dyDescent="0.25">
      <c r="AE146753" s="36"/>
      <c r="AF146753" s="36"/>
    </row>
    <row r="146849" spans="31:32" x14ac:dyDescent="0.25">
      <c r="AE146849" s="34"/>
      <c r="AF146849" s="34"/>
    </row>
    <row r="146857" spans="31:32" x14ac:dyDescent="0.25">
      <c r="AE146857" s="36"/>
      <c r="AF146857" s="36"/>
    </row>
    <row r="146953" spans="31:32" x14ac:dyDescent="0.25">
      <c r="AE146953" s="34"/>
      <c r="AF146953" s="34"/>
    </row>
    <row r="146961" spans="31:32" x14ac:dyDescent="0.25">
      <c r="AE146961" s="36"/>
      <c r="AF146961" s="36"/>
    </row>
    <row r="147057" spans="31:32" x14ac:dyDescent="0.25">
      <c r="AE147057" s="34"/>
      <c r="AF147057" s="34"/>
    </row>
    <row r="147065" spans="31:32" x14ac:dyDescent="0.25">
      <c r="AE147065" s="36"/>
      <c r="AF147065" s="36"/>
    </row>
    <row r="147161" spans="31:32" x14ac:dyDescent="0.25">
      <c r="AE147161" s="34"/>
      <c r="AF147161" s="34"/>
    </row>
    <row r="147169" spans="31:32" x14ac:dyDescent="0.25">
      <c r="AE147169" s="36"/>
      <c r="AF147169" s="36"/>
    </row>
    <row r="147265" spans="31:32" x14ac:dyDescent="0.25">
      <c r="AE147265" s="34"/>
      <c r="AF147265" s="34"/>
    </row>
    <row r="147273" spans="31:32" x14ac:dyDescent="0.25">
      <c r="AE147273" s="36"/>
      <c r="AF147273" s="36"/>
    </row>
    <row r="147369" spans="31:32" x14ac:dyDescent="0.25">
      <c r="AE147369" s="34"/>
      <c r="AF147369" s="34"/>
    </row>
    <row r="147377" spans="31:32" x14ac:dyDescent="0.25">
      <c r="AE147377" s="36"/>
      <c r="AF147377" s="36"/>
    </row>
    <row r="147473" spans="31:32" x14ac:dyDescent="0.25">
      <c r="AE147473" s="34"/>
      <c r="AF147473" s="34"/>
    </row>
    <row r="147481" spans="31:32" x14ac:dyDescent="0.25">
      <c r="AE147481" s="36"/>
      <c r="AF147481" s="36"/>
    </row>
    <row r="147577" spans="31:32" x14ac:dyDescent="0.25">
      <c r="AE147577" s="34"/>
      <c r="AF147577" s="34"/>
    </row>
    <row r="147585" spans="31:32" x14ac:dyDescent="0.25">
      <c r="AE147585" s="36"/>
      <c r="AF147585" s="36"/>
    </row>
    <row r="147681" spans="31:32" x14ac:dyDescent="0.25">
      <c r="AE147681" s="34"/>
      <c r="AF147681" s="34"/>
    </row>
    <row r="147689" spans="31:32" x14ac:dyDescent="0.25">
      <c r="AE147689" s="36"/>
      <c r="AF147689" s="36"/>
    </row>
    <row r="147785" spans="31:32" x14ac:dyDescent="0.25">
      <c r="AE147785" s="34"/>
      <c r="AF147785" s="34"/>
    </row>
    <row r="147793" spans="31:32" x14ac:dyDescent="0.25">
      <c r="AE147793" s="36"/>
      <c r="AF147793" s="36"/>
    </row>
    <row r="147889" spans="31:32" x14ac:dyDescent="0.25">
      <c r="AE147889" s="34"/>
      <c r="AF147889" s="34"/>
    </row>
    <row r="147897" spans="31:32" x14ac:dyDescent="0.25">
      <c r="AE147897" s="36"/>
      <c r="AF147897" s="36"/>
    </row>
    <row r="147993" spans="31:32" x14ac:dyDescent="0.25">
      <c r="AE147993" s="34"/>
      <c r="AF147993" s="34"/>
    </row>
    <row r="148001" spans="31:32" x14ac:dyDescent="0.25">
      <c r="AE148001" s="36"/>
      <c r="AF148001" s="36"/>
    </row>
    <row r="148097" spans="31:32" x14ac:dyDescent="0.25">
      <c r="AE148097" s="34"/>
      <c r="AF148097" s="34"/>
    </row>
    <row r="148105" spans="31:32" x14ac:dyDescent="0.25">
      <c r="AE148105" s="36"/>
      <c r="AF148105" s="36"/>
    </row>
    <row r="148201" spans="31:32" x14ac:dyDescent="0.25">
      <c r="AE148201" s="34"/>
      <c r="AF148201" s="34"/>
    </row>
    <row r="148209" spans="31:32" x14ac:dyDescent="0.25">
      <c r="AE148209" s="36"/>
      <c r="AF148209" s="36"/>
    </row>
    <row r="148305" spans="31:32" x14ac:dyDescent="0.25">
      <c r="AE148305" s="34"/>
      <c r="AF148305" s="34"/>
    </row>
    <row r="148313" spans="31:32" x14ac:dyDescent="0.25">
      <c r="AE148313" s="36"/>
      <c r="AF148313" s="36"/>
    </row>
    <row r="148409" spans="31:32" x14ac:dyDescent="0.25">
      <c r="AE148409" s="34"/>
      <c r="AF148409" s="34"/>
    </row>
    <row r="148417" spans="31:32" x14ac:dyDescent="0.25">
      <c r="AE148417" s="36"/>
      <c r="AF148417" s="36"/>
    </row>
    <row r="148513" spans="31:32" x14ac:dyDescent="0.25">
      <c r="AE148513" s="34"/>
      <c r="AF148513" s="34"/>
    </row>
    <row r="148521" spans="31:32" x14ac:dyDescent="0.25">
      <c r="AE148521" s="36"/>
      <c r="AF148521" s="36"/>
    </row>
    <row r="148617" spans="31:32" x14ac:dyDescent="0.25">
      <c r="AE148617" s="34"/>
      <c r="AF148617" s="34"/>
    </row>
    <row r="148625" spans="31:32" x14ac:dyDescent="0.25">
      <c r="AE148625" s="36"/>
      <c r="AF148625" s="36"/>
    </row>
    <row r="148721" spans="31:32" x14ac:dyDescent="0.25">
      <c r="AE148721" s="34"/>
      <c r="AF148721" s="34"/>
    </row>
    <row r="148729" spans="31:32" x14ac:dyDescent="0.25">
      <c r="AE148729" s="36"/>
      <c r="AF148729" s="36"/>
    </row>
    <row r="148825" spans="31:32" x14ac:dyDescent="0.25">
      <c r="AE148825" s="34"/>
      <c r="AF148825" s="34"/>
    </row>
    <row r="148833" spans="31:32" x14ac:dyDescent="0.25">
      <c r="AE148833" s="36"/>
      <c r="AF148833" s="36"/>
    </row>
    <row r="148929" spans="31:32" x14ac:dyDescent="0.25">
      <c r="AE148929" s="34"/>
      <c r="AF148929" s="34"/>
    </row>
    <row r="148937" spans="31:32" x14ac:dyDescent="0.25">
      <c r="AE148937" s="36"/>
      <c r="AF148937" s="36"/>
    </row>
    <row r="149033" spans="31:32" x14ac:dyDescent="0.25">
      <c r="AE149033" s="34"/>
      <c r="AF149033" s="34"/>
    </row>
    <row r="149041" spans="31:32" x14ac:dyDescent="0.25">
      <c r="AE149041" s="36"/>
      <c r="AF149041" s="36"/>
    </row>
    <row r="149137" spans="31:32" x14ac:dyDescent="0.25">
      <c r="AE149137" s="34"/>
      <c r="AF149137" s="34"/>
    </row>
    <row r="149145" spans="31:32" x14ac:dyDescent="0.25">
      <c r="AE149145" s="36"/>
      <c r="AF149145" s="36"/>
    </row>
    <row r="149241" spans="31:32" x14ac:dyDescent="0.25">
      <c r="AE149241" s="34"/>
      <c r="AF149241" s="34"/>
    </row>
    <row r="149249" spans="31:32" x14ac:dyDescent="0.25">
      <c r="AE149249" s="36"/>
      <c r="AF149249" s="36"/>
    </row>
    <row r="149345" spans="31:32" x14ac:dyDescent="0.25">
      <c r="AE149345" s="34"/>
      <c r="AF149345" s="34"/>
    </row>
    <row r="149353" spans="31:32" x14ac:dyDescent="0.25">
      <c r="AE149353" s="36"/>
      <c r="AF149353" s="36"/>
    </row>
    <row r="149449" spans="31:32" x14ac:dyDescent="0.25">
      <c r="AE149449" s="34"/>
      <c r="AF149449" s="34"/>
    </row>
    <row r="149457" spans="31:32" x14ac:dyDescent="0.25">
      <c r="AE149457" s="36"/>
      <c r="AF149457" s="36"/>
    </row>
    <row r="149553" spans="31:32" x14ac:dyDescent="0.25">
      <c r="AE149553" s="34"/>
      <c r="AF149553" s="34"/>
    </row>
    <row r="149561" spans="31:32" x14ac:dyDescent="0.25">
      <c r="AE149561" s="36"/>
      <c r="AF149561" s="36"/>
    </row>
    <row r="149657" spans="31:32" x14ac:dyDescent="0.25">
      <c r="AE149657" s="34"/>
      <c r="AF149657" s="34"/>
    </row>
    <row r="149665" spans="31:32" x14ac:dyDescent="0.25">
      <c r="AE149665" s="36"/>
      <c r="AF149665" s="36"/>
    </row>
    <row r="149761" spans="31:32" x14ac:dyDescent="0.25">
      <c r="AE149761" s="34"/>
      <c r="AF149761" s="34"/>
    </row>
    <row r="149769" spans="31:32" x14ac:dyDescent="0.25">
      <c r="AE149769" s="36"/>
      <c r="AF149769" s="36"/>
    </row>
    <row r="149865" spans="31:32" x14ac:dyDescent="0.25">
      <c r="AE149865" s="34"/>
      <c r="AF149865" s="34"/>
    </row>
    <row r="149873" spans="31:32" x14ac:dyDescent="0.25">
      <c r="AE149873" s="36"/>
      <c r="AF149873" s="36"/>
    </row>
    <row r="149969" spans="31:32" x14ac:dyDescent="0.25">
      <c r="AE149969" s="34"/>
      <c r="AF149969" s="34"/>
    </row>
    <row r="149977" spans="31:32" x14ac:dyDescent="0.25">
      <c r="AE149977" s="36"/>
      <c r="AF149977" s="36"/>
    </row>
    <row r="150073" spans="31:32" x14ac:dyDescent="0.25">
      <c r="AE150073" s="34"/>
      <c r="AF150073" s="34"/>
    </row>
    <row r="150081" spans="31:32" x14ac:dyDescent="0.25">
      <c r="AE150081" s="36"/>
      <c r="AF150081" s="36"/>
    </row>
    <row r="150177" spans="31:32" x14ac:dyDescent="0.25">
      <c r="AE150177" s="34"/>
      <c r="AF150177" s="34"/>
    </row>
    <row r="150185" spans="31:32" x14ac:dyDescent="0.25">
      <c r="AE150185" s="36"/>
      <c r="AF150185" s="36"/>
    </row>
    <row r="150281" spans="31:32" x14ac:dyDescent="0.25">
      <c r="AE150281" s="34"/>
      <c r="AF150281" s="34"/>
    </row>
    <row r="150289" spans="31:32" x14ac:dyDescent="0.25">
      <c r="AE150289" s="36"/>
      <c r="AF150289" s="36"/>
    </row>
    <row r="150385" spans="31:32" x14ac:dyDescent="0.25">
      <c r="AE150385" s="34"/>
      <c r="AF150385" s="34"/>
    </row>
    <row r="150393" spans="31:32" x14ac:dyDescent="0.25">
      <c r="AE150393" s="36"/>
      <c r="AF150393" s="36"/>
    </row>
    <row r="150489" spans="31:32" x14ac:dyDescent="0.25">
      <c r="AE150489" s="34"/>
      <c r="AF150489" s="34"/>
    </row>
    <row r="150497" spans="31:32" x14ac:dyDescent="0.25">
      <c r="AE150497" s="36"/>
      <c r="AF150497" s="36"/>
    </row>
    <row r="150593" spans="31:32" x14ac:dyDescent="0.25">
      <c r="AE150593" s="34"/>
      <c r="AF150593" s="34"/>
    </row>
    <row r="150601" spans="31:32" x14ac:dyDescent="0.25">
      <c r="AE150601" s="36"/>
      <c r="AF150601" s="36"/>
    </row>
    <row r="150697" spans="31:32" x14ac:dyDescent="0.25">
      <c r="AE150697" s="34"/>
      <c r="AF150697" s="34"/>
    </row>
    <row r="150705" spans="31:32" x14ac:dyDescent="0.25">
      <c r="AE150705" s="36"/>
      <c r="AF150705" s="36"/>
    </row>
    <row r="150801" spans="31:32" x14ac:dyDescent="0.25">
      <c r="AE150801" s="34"/>
      <c r="AF150801" s="34"/>
    </row>
    <row r="150809" spans="31:32" x14ac:dyDescent="0.25">
      <c r="AE150809" s="36"/>
      <c r="AF150809" s="36"/>
    </row>
    <row r="150905" spans="31:32" x14ac:dyDescent="0.25">
      <c r="AE150905" s="34"/>
      <c r="AF150905" s="34"/>
    </row>
    <row r="150913" spans="31:32" x14ac:dyDescent="0.25">
      <c r="AE150913" s="36"/>
      <c r="AF150913" s="36"/>
    </row>
    <row r="151009" spans="31:32" x14ac:dyDescent="0.25">
      <c r="AE151009" s="34"/>
      <c r="AF151009" s="34"/>
    </row>
    <row r="151017" spans="31:32" x14ac:dyDescent="0.25">
      <c r="AE151017" s="36"/>
      <c r="AF151017" s="36"/>
    </row>
    <row r="151113" spans="31:32" x14ac:dyDescent="0.25">
      <c r="AE151113" s="34"/>
      <c r="AF151113" s="34"/>
    </row>
    <row r="151121" spans="31:32" x14ac:dyDescent="0.25">
      <c r="AE151121" s="36"/>
      <c r="AF151121" s="36"/>
    </row>
    <row r="151217" spans="31:32" x14ac:dyDescent="0.25">
      <c r="AE151217" s="34"/>
      <c r="AF151217" s="34"/>
    </row>
    <row r="151225" spans="31:32" x14ac:dyDescent="0.25">
      <c r="AE151225" s="36"/>
      <c r="AF151225" s="36"/>
    </row>
    <row r="151321" spans="31:32" x14ac:dyDescent="0.25">
      <c r="AE151321" s="34"/>
      <c r="AF151321" s="34"/>
    </row>
    <row r="151329" spans="31:32" x14ac:dyDescent="0.25">
      <c r="AE151329" s="36"/>
      <c r="AF151329" s="36"/>
    </row>
    <row r="151425" spans="31:32" x14ac:dyDescent="0.25">
      <c r="AE151425" s="34"/>
      <c r="AF151425" s="34"/>
    </row>
    <row r="151433" spans="31:32" x14ac:dyDescent="0.25">
      <c r="AE151433" s="36"/>
      <c r="AF151433" s="36"/>
    </row>
    <row r="151529" spans="31:32" x14ac:dyDescent="0.25">
      <c r="AE151529" s="34"/>
      <c r="AF151529" s="34"/>
    </row>
    <row r="151537" spans="31:32" x14ac:dyDescent="0.25">
      <c r="AE151537" s="36"/>
      <c r="AF151537" s="36"/>
    </row>
    <row r="151633" spans="31:32" x14ac:dyDescent="0.25">
      <c r="AE151633" s="34"/>
      <c r="AF151633" s="34"/>
    </row>
    <row r="151641" spans="31:32" x14ac:dyDescent="0.25">
      <c r="AE151641" s="36"/>
      <c r="AF151641" s="36"/>
    </row>
    <row r="151737" spans="31:32" x14ac:dyDescent="0.25">
      <c r="AE151737" s="34"/>
      <c r="AF151737" s="34"/>
    </row>
    <row r="151745" spans="31:32" x14ac:dyDescent="0.25">
      <c r="AE151745" s="36"/>
      <c r="AF151745" s="36"/>
    </row>
    <row r="151841" spans="31:32" x14ac:dyDescent="0.25">
      <c r="AE151841" s="34"/>
      <c r="AF151841" s="34"/>
    </row>
    <row r="151849" spans="31:32" x14ac:dyDescent="0.25">
      <c r="AE151849" s="36"/>
      <c r="AF151849" s="36"/>
    </row>
    <row r="151945" spans="31:32" x14ac:dyDescent="0.25">
      <c r="AE151945" s="34"/>
      <c r="AF151945" s="34"/>
    </row>
    <row r="151953" spans="31:32" x14ac:dyDescent="0.25">
      <c r="AE151953" s="36"/>
      <c r="AF151953" s="36"/>
    </row>
    <row r="152049" spans="31:32" x14ac:dyDescent="0.25">
      <c r="AE152049" s="34"/>
      <c r="AF152049" s="34"/>
    </row>
    <row r="152057" spans="31:32" x14ac:dyDescent="0.25">
      <c r="AE152057" s="36"/>
      <c r="AF152057" s="36"/>
    </row>
    <row r="152153" spans="31:32" x14ac:dyDescent="0.25">
      <c r="AE152153" s="34"/>
      <c r="AF152153" s="34"/>
    </row>
    <row r="152161" spans="31:32" x14ac:dyDescent="0.25">
      <c r="AE152161" s="36"/>
      <c r="AF152161" s="36"/>
    </row>
    <row r="152257" spans="31:32" x14ac:dyDescent="0.25">
      <c r="AE152257" s="34"/>
      <c r="AF152257" s="34"/>
    </row>
    <row r="152265" spans="31:32" x14ac:dyDescent="0.25">
      <c r="AE152265" s="36"/>
      <c r="AF152265" s="36"/>
    </row>
    <row r="152361" spans="31:32" x14ac:dyDescent="0.25">
      <c r="AE152361" s="34"/>
      <c r="AF152361" s="34"/>
    </row>
    <row r="152369" spans="31:32" x14ac:dyDescent="0.25">
      <c r="AE152369" s="36"/>
      <c r="AF152369" s="36"/>
    </row>
    <row r="152465" spans="31:32" x14ac:dyDescent="0.25">
      <c r="AE152465" s="34"/>
      <c r="AF152465" s="34"/>
    </row>
    <row r="152473" spans="31:32" x14ac:dyDescent="0.25">
      <c r="AE152473" s="36"/>
      <c r="AF152473" s="36"/>
    </row>
    <row r="152569" spans="31:32" x14ac:dyDescent="0.25">
      <c r="AE152569" s="34"/>
      <c r="AF152569" s="34"/>
    </row>
    <row r="152577" spans="31:32" x14ac:dyDescent="0.25">
      <c r="AE152577" s="36"/>
      <c r="AF152577" s="36"/>
    </row>
    <row r="152673" spans="31:32" x14ac:dyDescent="0.25">
      <c r="AE152673" s="34"/>
      <c r="AF152673" s="34"/>
    </row>
    <row r="152681" spans="31:32" x14ac:dyDescent="0.25">
      <c r="AE152681" s="36"/>
      <c r="AF152681" s="36"/>
    </row>
    <row r="152777" spans="31:32" x14ac:dyDescent="0.25">
      <c r="AE152777" s="34"/>
      <c r="AF152777" s="34"/>
    </row>
    <row r="152785" spans="31:32" x14ac:dyDescent="0.25">
      <c r="AE152785" s="36"/>
      <c r="AF152785" s="36"/>
    </row>
    <row r="152881" spans="31:32" x14ac:dyDescent="0.25">
      <c r="AE152881" s="34"/>
      <c r="AF152881" s="34"/>
    </row>
    <row r="152889" spans="31:32" x14ac:dyDescent="0.25">
      <c r="AE152889" s="36"/>
      <c r="AF152889" s="36"/>
    </row>
    <row r="152985" spans="31:32" x14ac:dyDescent="0.25">
      <c r="AE152985" s="34"/>
      <c r="AF152985" s="34"/>
    </row>
    <row r="152993" spans="31:32" x14ac:dyDescent="0.25">
      <c r="AE152993" s="36"/>
      <c r="AF152993" s="36"/>
    </row>
    <row r="153089" spans="31:32" x14ac:dyDescent="0.25">
      <c r="AE153089" s="34"/>
      <c r="AF153089" s="34"/>
    </row>
    <row r="153097" spans="31:32" x14ac:dyDescent="0.25">
      <c r="AE153097" s="36"/>
      <c r="AF153097" s="36"/>
    </row>
    <row r="153193" spans="31:32" x14ac:dyDescent="0.25">
      <c r="AE153193" s="34"/>
      <c r="AF153193" s="34"/>
    </row>
    <row r="153201" spans="31:32" x14ac:dyDescent="0.25">
      <c r="AE153201" s="36"/>
      <c r="AF153201" s="36"/>
    </row>
    <row r="153297" spans="31:32" x14ac:dyDescent="0.25">
      <c r="AE153297" s="34"/>
      <c r="AF153297" s="34"/>
    </row>
    <row r="153305" spans="31:32" x14ac:dyDescent="0.25">
      <c r="AE153305" s="36"/>
      <c r="AF153305" s="36"/>
    </row>
    <row r="153401" spans="31:32" x14ac:dyDescent="0.25">
      <c r="AE153401" s="34"/>
      <c r="AF153401" s="34"/>
    </row>
    <row r="153409" spans="31:32" x14ac:dyDescent="0.25">
      <c r="AE153409" s="36"/>
      <c r="AF153409" s="36"/>
    </row>
    <row r="153505" spans="31:32" x14ac:dyDescent="0.25">
      <c r="AE153505" s="34"/>
      <c r="AF153505" s="34"/>
    </row>
    <row r="153513" spans="31:32" x14ac:dyDescent="0.25">
      <c r="AE153513" s="36"/>
      <c r="AF153513" s="36"/>
    </row>
    <row r="153609" spans="31:32" x14ac:dyDescent="0.25">
      <c r="AE153609" s="34"/>
      <c r="AF153609" s="34"/>
    </row>
    <row r="153617" spans="31:32" x14ac:dyDescent="0.25">
      <c r="AE153617" s="36"/>
      <c r="AF153617" s="36"/>
    </row>
    <row r="153713" spans="31:32" x14ac:dyDescent="0.25">
      <c r="AE153713" s="34"/>
      <c r="AF153713" s="34"/>
    </row>
    <row r="153721" spans="31:32" x14ac:dyDescent="0.25">
      <c r="AE153721" s="36"/>
      <c r="AF153721" s="36"/>
    </row>
    <row r="153817" spans="31:32" x14ac:dyDescent="0.25">
      <c r="AE153817" s="34"/>
      <c r="AF153817" s="34"/>
    </row>
    <row r="153825" spans="31:32" x14ac:dyDescent="0.25">
      <c r="AE153825" s="36"/>
      <c r="AF153825" s="36"/>
    </row>
    <row r="153921" spans="31:32" x14ac:dyDescent="0.25">
      <c r="AE153921" s="34"/>
      <c r="AF153921" s="34"/>
    </row>
    <row r="153929" spans="31:32" x14ac:dyDescent="0.25">
      <c r="AE153929" s="36"/>
      <c r="AF153929" s="36"/>
    </row>
    <row r="154025" spans="31:32" x14ac:dyDescent="0.25">
      <c r="AE154025" s="34"/>
      <c r="AF154025" s="34"/>
    </row>
    <row r="154033" spans="31:32" x14ac:dyDescent="0.25">
      <c r="AE154033" s="36"/>
      <c r="AF154033" s="36"/>
    </row>
    <row r="154129" spans="31:32" x14ac:dyDescent="0.25">
      <c r="AE154129" s="34"/>
      <c r="AF154129" s="34"/>
    </row>
    <row r="154137" spans="31:32" x14ac:dyDescent="0.25">
      <c r="AE154137" s="36"/>
      <c r="AF154137" s="36"/>
    </row>
    <row r="154233" spans="31:32" x14ac:dyDescent="0.25">
      <c r="AE154233" s="34"/>
      <c r="AF154233" s="34"/>
    </row>
    <row r="154241" spans="31:32" x14ac:dyDescent="0.25">
      <c r="AE154241" s="36"/>
      <c r="AF154241" s="36"/>
    </row>
    <row r="154337" spans="31:32" x14ac:dyDescent="0.25">
      <c r="AE154337" s="34"/>
      <c r="AF154337" s="34"/>
    </row>
    <row r="154345" spans="31:32" x14ac:dyDescent="0.25">
      <c r="AE154345" s="36"/>
      <c r="AF154345" s="36"/>
    </row>
    <row r="154441" spans="31:32" x14ac:dyDescent="0.25">
      <c r="AE154441" s="34"/>
      <c r="AF154441" s="34"/>
    </row>
    <row r="154449" spans="31:32" x14ac:dyDescent="0.25">
      <c r="AE154449" s="36"/>
      <c r="AF154449" s="36"/>
    </row>
    <row r="154545" spans="31:32" x14ac:dyDescent="0.25">
      <c r="AE154545" s="34"/>
      <c r="AF154545" s="34"/>
    </row>
    <row r="154553" spans="31:32" x14ac:dyDescent="0.25">
      <c r="AE154553" s="36"/>
      <c r="AF154553" s="36"/>
    </row>
    <row r="154649" spans="31:32" x14ac:dyDescent="0.25">
      <c r="AE154649" s="34"/>
      <c r="AF154649" s="34"/>
    </row>
    <row r="154657" spans="31:32" x14ac:dyDescent="0.25">
      <c r="AE154657" s="36"/>
      <c r="AF154657" s="36"/>
    </row>
    <row r="154753" spans="31:32" x14ac:dyDescent="0.25">
      <c r="AE154753" s="34"/>
      <c r="AF154753" s="34"/>
    </row>
    <row r="154761" spans="31:32" x14ac:dyDescent="0.25">
      <c r="AE154761" s="36"/>
      <c r="AF154761" s="36"/>
    </row>
    <row r="154857" spans="31:32" x14ac:dyDescent="0.25">
      <c r="AE154857" s="34"/>
      <c r="AF154857" s="34"/>
    </row>
    <row r="154865" spans="31:32" x14ac:dyDescent="0.25">
      <c r="AE154865" s="36"/>
      <c r="AF154865" s="36"/>
    </row>
    <row r="154961" spans="31:32" x14ac:dyDescent="0.25">
      <c r="AE154961" s="34"/>
      <c r="AF154961" s="34"/>
    </row>
    <row r="154969" spans="31:32" x14ac:dyDescent="0.25">
      <c r="AE154969" s="36"/>
      <c r="AF154969" s="36"/>
    </row>
    <row r="155065" spans="31:32" x14ac:dyDescent="0.25">
      <c r="AE155065" s="34"/>
      <c r="AF155065" s="34"/>
    </row>
    <row r="155073" spans="31:32" x14ac:dyDescent="0.25">
      <c r="AE155073" s="36"/>
      <c r="AF155073" s="36"/>
    </row>
    <row r="155169" spans="31:32" x14ac:dyDescent="0.25">
      <c r="AE155169" s="34"/>
      <c r="AF155169" s="34"/>
    </row>
    <row r="155177" spans="31:32" x14ac:dyDescent="0.25">
      <c r="AE155177" s="36"/>
      <c r="AF155177" s="36"/>
    </row>
    <row r="155273" spans="31:32" x14ac:dyDescent="0.25">
      <c r="AE155273" s="34"/>
      <c r="AF155273" s="34"/>
    </row>
    <row r="155281" spans="31:32" x14ac:dyDescent="0.25">
      <c r="AE155281" s="36"/>
      <c r="AF155281" s="36"/>
    </row>
    <row r="155377" spans="31:32" x14ac:dyDescent="0.25">
      <c r="AE155377" s="34"/>
      <c r="AF155377" s="34"/>
    </row>
    <row r="155385" spans="31:32" x14ac:dyDescent="0.25">
      <c r="AE155385" s="36"/>
      <c r="AF155385" s="36"/>
    </row>
    <row r="155481" spans="31:32" x14ac:dyDescent="0.25">
      <c r="AE155481" s="34"/>
      <c r="AF155481" s="34"/>
    </row>
    <row r="155489" spans="31:32" x14ac:dyDescent="0.25">
      <c r="AE155489" s="36"/>
      <c r="AF155489" s="36"/>
    </row>
    <row r="155585" spans="31:32" x14ac:dyDescent="0.25">
      <c r="AE155585" s="34"/>
      <c r="AF155585" s="34"/>
    </row>
    <row r="155593" spans="31:32" x14ac:dyDescent="0.25">
      <c r="AE155593" s="36"/>
      <c r="AF155593" s="36"/>
    </row>
    <row r="155689" spans="31:32" x14ac:dyDescent="0.25">
      <c r="AE155689" s="34"/>
      <c r="AF155689" s="34"/>
    </row>
    <row r="155697" spans="31:32" x14ac:dyDescent="0.25">
      <c r="AE155697" s="36"/>
      <c r="AF155697" s="36"/>
    </row>
    <row r="155793" spans="31:32" x14ac:dyDescent="0.25">
      <c r="AE155793" s="34"/>
      <c r="AF155793" s="34"/>
    </row>
    <row r="155801" spans="31:32" x14ac:dyDescent="0.25">
      <c r="AE155801" s="36"/>
      <c r="AF155801" s="36"/>
    </row>
    <row r="155897" spans="31:32" x14ac:dyDescent="0.25">
      <c r="AE155897" s="34"/>
      <c r="AF155897" s="34"/>
    </row>
    <row r="155905" spans="31:32" x14ac:dyDescent="0.25">
      <c r="AE155905" s="36"/>
      <c r="AF155905" s="36"/>
    </row>
    <row r="156001" spans="31:32" x14ac:dyDescent="0.25">
      <c r="AE156001" s="34"/>
      <c r="AF156001" s="34"/>
    </row>
    <row r="156009" spans="31:32" x14ac:dyDescent="0.25">
      <c r="AE156009" s="36"/>
      <c r="AF156009" s="36"/>
    </row>
    <row r="156105" spans="31:32" x14ac:dyDescent="0.25">
      <c r="AE156105" s="34"/>
      <c r="AF156105" s="34"/>
    </row>
    <row r="156113" spans="31:32" x14ac:dyDescent="0.25">
      <c r="AE156113" s="36"/>
      <c r="AF156113" s="36"/>
    </row>
    <row r="156209" spans="31:32" x14ac:dyDescent="0.25">
      <c r="AE156209" s="34"/>
      <c r="AF156209" s="34"/>
    </row>
    <row r="156217" spans="31:32" x14ac:dyDescent="0.25">
      <c r="AE156217" s="36"/>
      <c r="AF156217" s="36"/>
    </row>
    <row r="156313" spans="31:32" x14ac:dyDescent="0.25">
      <c r="AE156313" s="34"/>
      <c r="AF156313" s="34"/>
    </row>
    <row r="156321" spans="31:32" x14ac:dyDescent="0.25">
      <c r="AE156321" s="36"/>
      <c r="AF156321" s="36"/>
    </row>
    <row r="156417" spans="31:32" x14ac:dyDescent="0.25">
      <c r="AE156417" s="34"/>
      <c r="AF156417" s="34"/>
    </row>
    <row r="156425" spans="31:32" x14ac:dyDescent="0.25">
      <c r="AE156425" s="36"/>
      <c r="AF156425" s="36"/>
    </row>
    <row r="156521" spans="31:32" x14ac:dyDescent="0.25">
      <c r="AE156521" s="34"/>
      <c r="AF156521" s="34"/>
    </row>
    <row r="156529" spans="31:32" x14ac:dyDescent="0.25">
      <c r="AE156529" s="36"/>
      <c r="AF156529" s="36"/>
    </row>
    <row r="156625" spans="31:32" x14ac:dyDescent="0.25">
      <c r="AE156625" s="34"/>
      <c r="AF156625" s="34"/>
    </row>
    <row r="156633" spans="31:32" x14ac:dyDescent="0.25">
      <c r="AE156633" s="36"/>
      <c r="AF156633" s="36"/>
    </row>
    <row r="156729" spans="31:32" x14ac:dyDescent="0.25">
      <c r="AE156729" s="34"/>
      <c r="AF156729" s="34"/>
    </row>
    <row r="156737" spans="31:32" x14ac:dyDescent="0.25">
      <c r="AE156737" s="36"/>
      <c r="AF156737" s="36"/>
    </row>
    <row r="156833" spans="31:32" x14ac:dyDescent="0.25">
      <c r="AE156833" s="34"/>
      <c r="AF156833" s="34"/>
    </row>
    <row r="156841" spans="31:32" x14ac:dyDescent="0.25">
      <c r="AE156841" s="36"/>
      <c r="AF156841" s="36"/>
    </row>
    <row r="156937" spans="31:32" x14ac:dyDescent="0.25">
      <c r="AE156937" s="34"/>
      <c r="AF156937" s="34"/>
    </row>
    <row r="156945" spans="31:32" x14ac:dyDescent="0.25">
      <c r="AE156945" s="36"/>
      <c r="AF156945" s="36"/>
    </row>
    <row r="157041" spans="31:32" x14ac:dyDescent="0.25">
      <c r="AE157041" s="34"/>
      <c r="AF157041" s="34"/>
    </row>
    <row r="157049" spans="31:32" x14ac:dyDescent="0.25">
      <c r="AE157049" s="36"/>
      <c r="AF157049" s="36"/>
    </row>
    <row r="157145" spans="31:32" x14ac:dyDescent="0.25">
      <c r="AE157145" s="34"/>
      <c r="AF157145" s="34"/>
    </row>
    <row r="157153" spans="31:32" x14ac:dyDescent="0.25">
      <c r="AE157153" s="36"/>
      <c r="AF157153" s="36"/>
    </row>
    <row r="157249" spans="31:32" x14ac:dyDescent="0.25">
      <c r="AE157249" s="34"/>
      <c r="AF157249" s="34"/>
    </row>
    <row r="157257" spans="31:32" x14ac:dyDescent="0.25">
      <c r="AE157257" s="36"/>
      <c r="AF157257" s="36"/>
    </row>
    <row r="157353" spans="31:32" x14ac:dyDescent="0.25">
      <c r="AE157353" s="34"/>
      <c r="AF157353" s="34"/>
    </row>
    <row r="157361" spans="31:32" x14ac:dyDescent="0.25">
      <c r="AE157361" s="36"/>
      <c r="AF157361" s="36"/>
    </row>
    <row r="157457" spans="31:32" x14ac:dyDescent="0.25">
      <c r="AE157457" s="34"/>
      <c r="AF157457" s="34"/>
    </row>
    <row r="157465" spans="31:32" x14ac:dyDescent="0.25">
      <c r="AE157465" s="36"/>
      <c r="AF157465" s="36"/>
    </row>
    <row r="157561" spans="31:32" x14ac:dyDescent="0.25">
      <c r="AE157561" s="34"/>
      <c r="AF157561" s="34"/>
    </row>
    <row r="157569" spans="31:32" x14ac:dyDescent="0.25">
      <c r="AE157569" s="36"/>
      <c r="AF157569" s="36"/>
    </row>
    <row r="157665" spans="31:32" x14ac:dyDescent="0.25">
      <c r="AE157665" s="34"/>
      <c r="AF157665" s="34"/>
    </row>
    <row r="157673" spans="31:32" x14ac:dyDescent="0.25">
      <c r="AE157673" s="36"/>
      <c r="AF157673" s="36"/>
    </row>
    <row r="157769" spans="31:32" x14ac:dyDescent="0.25">
      <c r="AE157769" s="34"/>
      <c r="AF157769" s="34"/>
    </row>
    <row r="157777" spans="31:32" x14ac:dyDescent="0.25">
      <c r="AE157777" s="36"/>
      <c r="AF157777" s="36"/>
    </row>
    <row r="157873" spans="31:32" x14ac:dyDescent="0.25">
      <c r="AE157873" s="34"/>
      <c r="AF157873" s="34"/>
    </row>
    <row r="157881" spans="31:32" x14ac:dyDescent="0.25">
      <c r="AE157881" s="36"/>
      <c r="AF157881" s="36"/>
    </row>
    <row r="157977" spans="31:32" x14ac:dyDescent="0.25">
      <c r="AE157977" s="34"/>
      <c r="AF157977" s="34"/>
    </row>
    <row r="157985" spans="31:32" x14ac:dyDescent="0.25">
      <c r="AE157985" s="36"/>
      <c r="AF157985" s="36"/>
    </row>
    <row r="158081" spans="31:32" x14ac:dyDescent="0.25">
      <c r="AE158081" s="34"/>
      <c r="AF158081" s="34"/>
    </row>
    <row r="158089" spans="31:32" x14ac:dyDescent="0.25">
      <c r="AE158089" s="36"/>
      <c r="AF158089" s="36"/>
    </row>
    <row r="158185" spans="31:32" x14ac:dyDescent="0.25">
      <c r="AE158185" s="34"/>
      <c r="AF158185" s="34"/>
    </row>
    <row r="158193" spans="31:32" x14ac:dyDescent="0.25">
      <c r="AE158193" s="36"/>
      <c r="AF158193" s="36"/>
    </row>
    <row r="158289" spans="31:32" x14ac:dyDescent="0.25">
      <c r="AE158289" s="34"/>
      <c r="AF158289" s="34"/>
    </row>
    <row r="158297" spans="31:32" x14ac:dyDescent="0.25">
      <c r="AE158297" s="36"/>
      <c r="AF158297" s="36"/>
    </row>
    <row r="158393" spans="31:32" x14ac:dyDescent="0.25">
      <c r="AE158393" s="34"/>
      <c r="AF158393" s="34"/>
    </row>
    <row r="158401" spans="31:32" x14ac:dyDescent="0.25">
      <c r="AE158401" s="36"/>
      <c r="AF158401" s="36"/>
    </row>
    <row r="158497" spans="31:32" x14ac:dyDescent="0.25">
      <c r="AE158497" s="34"/>
      <c r="AF158497" s="34"/>
    </row>
    <row r="158505" spans="31:32" x14ac:dyDescent="0.25">
      <c r="AE158505" s="36"/>
      <c r="AF158505" s="36"/>
    </row>
    <row r="158601" spans="31:32" x14ac:dyDescent="0.25">
      <c r="AE158601" s="34"/>
      <c r="AF158601" s="34"/>
    </row>
    <row r="158609" spans="31:32" x14ac:dyDescent="0.25">
      <c r="AE158609" s="36"/>
      <c r="AF158609" s="36"/>
    </row>
    <row r="158705" spans="31:32" x14ac:dyDescent="0.25">
      <c r="AE158705" s="34"/>
      <c r="AF158705" s="34"/>
    </row>
    <row r="158713" spans="31:32" x14ac:dyDescent="0.25">
      <c r="AE158713" s="36"/>
      <c r="AF158713" s="36"/>
    </row>
    <row r="158809" spans="31:32" x14ac:dyDescent="0.25">
      <c r="AE158809" s="34"/>
      <c r="AF158809" s="34"/>
    </row>
    <row r="158817" spans="31:32" x14ac:dyDescent="0.25">
      <c r="AE158817" s="36"/>
      <c r="AF158817" s="36"/>
    </row>
    <row r="158913" spans="31:32" x14ac:dyDescent="0.25">
      <c r="AE158913" s="34"/>
      <c r="AF158913" s="34"/>
    </row>
    <row r="158921" spans="31:32" x14ac:dyDescent="0.25">
      <c r="AE158921" s="36"/>
      <c r="AF158921" s="36"/>
    </row>
    <row r="159017" spans="31:32" x14ac:dyDescent="0.25">
      <c r="AE159017" s="34"/>
      <c r="AF159017" s="34"/>
    </row>
    <row r="159025" spans="31:32" x14ac:dyDescent="0.25">
      <c r="AE159025" s="36"/>
      <c r="AF159025" s="36"/>
    </row>
    <row r="159121" spans="31:32" x14ac:dyDescent="0.25">
      <c r="AE159121" s="34"/>
      <c r="AF159121" s="34"/>
    </row>
    <row r="159129" spans="31:32" x14ac:dyDescent="0.25">
      <c r="AE159129" s="36"/>
      <c r="AF159129" s="36"/>
    </row>
    <row r="159225" spans="31:32" x14ac:dyDescent="0.25">
      <c r="AE159225" s="34"/>
      <c r="AF159225" s="34"/>
    </row>
    <row r="159233" spans="31:32" x14ac:dyDescent="0.25">
      <c r="AE159233" s="36"/>
      <c r="AF159233" s="36"/>
    </row>
    <row r="159329" spans="31:32" x14ac:dyDescent="0.25">
      <c r="AE159329" s="34"/>
      <c r="AF159329" s="34"/>
    </row>
    <row r="159337" spans="31:32" x14ac:dyDescent="0.25">
      <c r="AE159337" s="36"/>
      <c r="AF159337" s="36"/>
    </row>
    <row r="159433" spans="31:32" x14ac:dyDescent="0.25">
      <c r="AE159433" s="34"/>
      <c r="AF159433" s="34"/>
    </row>
    <row r="159441" spans="31:32" x14ac:dyDescent="0.25">
      <c r="AE159441" s="36"/>
      <c r="AF159441" s="36"/>
    </row>
    <row r="159537" spans="31:32" x14ac:dyDescent="0.25">
      <c r="AE159537" s="34"/>
      <c r="AF159537" s="34"/>
    </row>
    <row r="159545" spans="31:32" x14ac:dyDescent="0.25">
      <c r="AE159545" s="36"/>
      <c r="AF159545" s="36"/>
    </row>
    <row r="159641" spans="31:32" x14ac:dyDescent="0.25">
      <c r="AE159641" s="34"/>
      <c r="AF159641" s="34"/>
    </row>
    <row r="159649" spans="31:32" x14ac:dyDescent="0.25">
      <c r="AE159649" s="36"/>
      <c r="AF159649" s="36"/>
    </row>
    <row r="159745" spans="31:32" x14ac:dyDescent="0.25">
      <c r="AE159745" s="34"/>
      <c r="AF159745" s="34"/>
    </row>
    <row r="159753" spans="31:32" x14ac:dyDescent="0.25">
      <c r="AE159753" s="36"/>
      <c r="AF159753" s="36"/>
    </row>
    <row r="159849" spans="31:32" x14ac:dyDescent="0.25">
      <c r="AE159849" s="34"/>
      <c r="AF159849" s="34"/>
    </row>
    <row r="159857" spans="31:32" x14ac:dyDescent="0.25">
      <c r="AE159857" s="36"/>
      <c r="AF159857" s="36"/>
    </row>
    <row r="159953" spans="31:32" x14ac:dyDescent="0.25">
      <c r="AE159953" s="34"/>
      <c r="AF159953" s="34"/>
    </row>
    <row r="159961" spans="31:32" x14ac:dyDescent="0.25">
      <c r="AE159961" s="36"/>
      <c r="AF159961" s="36"/>
    </row>
    <row r="160057" spans="31:32" x14ac:dyDescent="0.25">
      <c r="AE160057" s="34"/>
      <c r="AF160057" s="34"/>
    </row>
    <row r="160065" spans="31:32" x14ac:dyDescent="0.25">
      <c r="AE160065" s="36"/>
      <c r="AF160065" s="36"/>
    </row>
    <row r="160161" spans="31:32" x14ac:dyDescent="0.25">
      <c r="AE160161" s="34"/>
      <c r="AF160161" s="34"/>
    </row>
    <row r="160169" spans="31:32" x14ac:dyDescent="0.25">
      <c r="AE160169" s="36"/>
      <c r="AF160169" s="36"/>
    </row>
    <row r="160265" spans="31:32" x14ac:dyDescent="0.25">
      <c r="AE160265" s="34"/>
      <c r="AF160265" s="34"/>
    </row>
    <row r="160273" spans="31:32" x14ac:dyDescent="0.25">
      <c r="AE160273" s="36"/>
      <c r="AF160273" s="36"/>
    </row>
    <row r="160369" spans="31:32" x14ac:dyDescent="0.25">
      <c r="AE160369" s="34"/>
      <c r="AF160369" s="34"/>
    </row>
    <row r="160377" spans="31:32" x14ac:dyDescent="0.25">
      <c r="AE160377" s="36"/>
      <c r="AF160377" s="36"/>
    </row>
    <row r="160473" spans="31:32" x14ac:dyDescent="0.25">
      <c r="AE160473" s="34"/>
      <c r="AF160473" s="34"/>
    </row>
    <row r="160481" spans="31:32" x14ac:dyDescent="0.25">
      <c r="AE160481" s="36"/>
      <c r="AF160481" s="36"/>
    </row>
    <row r="160577" spans="31:32" x14ac:dyDescent="0.25">
      <c r="AE160577" s="34"/>
      <c r="AF160577" s="34"/>
    </row>
    <row r="160585" spans="31:32" x14ac:dyDescent="0.25">
      <c r="AE160585" s="36"/>
      <c r="AF160585" s="36"/>
    </row>
    <row r="160681" spans="31:32" x14ac:dyDescent="0.25">
      <c r="AE160681" s="34"/>
      <c r="AF160681" s="34"/>
    </row>
    <row r="160689" spans="31:32" x14ac:dyDescent="0.25">
      <c r="AE160689" s="36"/>
      <c r="AF160689" s="36"/>
    </row>
    <row r="160785" spans="31:32" x14ac:dyDescent="0.25">
      <c r="AE160785" s="34"/>
      <c r="AF160785" s="34"/>
    </row>
    <row r="160793" spans="31:32" x14ac:dyDescent="0.25">
      <c r="AE160793" s="36"/>
      <c r="AF160793" s="36"/>
    </row>
    <row r="160889" spans="31:32" x14ac:dyDescent="0.25">
      <c r="AE160889" s="34"/>
      <c r="AF160889" s="34"/>
    </row>
    <row r="160897" spans="31:32" x14ac:dyDescent="0.25">
      <c r="AE160897" s="36"/>
      <c r="AF160897" s="36"/>
    </row>
    <row r="160993" spans="31:32" x14ac:dyDescent="0.25">
      <c r="AE160993" s="34"/>
      <c r="AF160993" s="34"/>
    </row>
    <row r="161001" spans="31:32" x14ac:dyDescent="0.25">
      <c r="AE161001" s="36"/>
      <c r="AF161001" s="36"/>
    </row>
    <row r="161097" spans="31:32" x14ac:dyDescent="0.25">
      <c r="AE161097" s="34"/>
      <c r="AF161097" s="34"/>
    </row>
    <row r="161105" spans="31:32" x14ac:dyDescent="0.25">
      <c r="AE161105" s="36"/>
      <c r="AF161105" s="36"/>
    </row>
    <row r="161201" spans="31:32" x14ac:dyDescent="0.25">
      <c r="AE161201" s="34"/>
      <c r="AF161201" s="34"/>
    </row>
    <row r="161209" spans="31:32" x14ac:dyDescent="0.25">
      <c r="AE161209" s="36"/>
      <c r="AF161209" s="36"/>
    </row>
    <row r="161305" spans="31:32" x14ac:dyDescent="0.25">
      <c r="AE161305" s="34"/>
      <c r="AF161305" s="34"/>
    </row>
    <row r="161313" spans="31:32" x14ac:dyDescent="0.25">
      <c r="AE161313" s="36"/>
      <c r="AF161313" s="36"/>
    </row>
    <row r="161409" spans="31:32" x14ac:dyDescent="0.25">
      <c r="AE161409" s="34"/>
      <c r="AF161409" s="34"/>
    </row>
    <row r="161417" spans="31:32" x14ac:dyDescent="0.25">
      <c r="AE161417" s="36"/>
      <c r="AF161417" s="36"/>
    </row>
    <row r="161513" spans="31:32" x14ac:dyDescent="0.25">
      <c r="AE161513" s="34"/>
      <c r="AF161513" s="34"/>
    </row>
    <row r="161521" spans="31:32" x14ac:dyDescent="0.25">
      <c r="AE161521" s="36"/>
      <c r="AF161521" s="36"/>
    </row>
    <row r="161617" spans="31:32" x14ac:dyDescent="0.25">
      <c r="AE161617" s="34"/>
      <c r="AF161617" s="34"/>
    </row>
    <row r="161625" spans="31:32" x14ac:dyDescent="0.25">
      <c r="AE161625" s="36"/>
      <c r="AF161625" s="36"/>
    </row>
    <row r="161721" spans="31:32" x14ac:dyDescent="0.25">
      <c r="AE161721" s="34"/>
      <c r="AF161721" s="34"/>
    </row>
    <row r="161729" spans="31:32" x14ac:dyDescent="0.25">
      <c r="AE161729" s="36"/>
      <c r="AF161729" s="36"/>
    </row>
    <row r="161825" spans="31:32" x14ac:dyDescent="0.25">
      <c r="AE161825" s="34"/>
      <c r="AF161825" s="34"/>
    </row>
    <row r="161833" spans="31:32" x14ac:dyDescent="0.25">
      <c r="AE161833" s="36"/>
      <c r="AF161833" s="36"/>
    </row>
    <row r="161929" spans="31:32" x14ac:dyDescent="0.25">
      <c r="AE161929" s="34"/>
      <c r="AF161929" s="34"/>
    </row>
    <row r="161937" spans="31:32" x14ac:dyDescent="0.25">
      <c r="AE161937" s="36"/>
      <c r="AF161937" s="36"/>
    </row>
    <row r="162033" spans="31:32" x14ac:dyDescent="0.25">
      <c r="AE162033" s="34"/>
      <c r="AF162033" s="34"/>
    </row>
    <row r="162041" spans="31:32" x14ac:dyDescent="0.25">
      <c r="AE162041" s="36"/>
      <c r="AF162041" s="36"/>
    </row>
    <row r="162137" spans="31:32" x14ac:dyDescent="0.25">
      <c r="AE162137" s="34"/>
      <c r="AF162137" s="34"/>
    </row>
    <row r="162145" spans="31:32" x14ac:dyDescent="0.25">
      <c r="AE162145" s="36"/>
      <c r="AF162145" s="36"/>
    </row>
    <row r="162241" spans="31:32" x14ac:dyDescent="0.25">
      <c r="AE162241" s="34"/>
      <c r="AF162241" s="34"/>
    </row>
    <row r="162249" spans="31:32" x14ac:dyDescent="0.25">
      <c r="AE162249" s="36"/>
      <c r="AF162249" s="36"/>
    </row>
    <row r="162345" spans="31:32" x14ac:dyDescent="0.25">
      <c r="AE162345" s="34"/>
      <c r="AF162345" s="34"/>
    </row>
    <row r="162353" spans="31:32" x14ac:dyDescent="0.25">
      <c r="AE162353" s="36"/>
      <c r="AF162353" s="36"/>
    </row>
    <row r="162449" spans="31:32" x14ac:dyDescent="0.25">
      <c r="AE162449" s="34"/>
      <c r="AF162449" s="34"/>
    </row>
    <row r="162457" spans="31:32" x14ac:dyDescent="0.25">
      <c r="AE162457" s="36"/>
      <c r="AF162457" s="36"/>
    </row>
    <row r="162553" spans="31:32" x14ac:dyDescent="0.25">
      <c r="AE162553" s="34"/>
      <c r="AF162553" s="34"/>
    </row>
    <row r="162561" spans="31:32" x14ac:dyDescent="0.25">
      <c r="AE162561" s="36"/>
      <c r="AF162561" s="36"/>
    </row>
    <row r="162657" spans="31:32" x14ac:dyDescent="0.25">
      <c r="AE162657" s="34"/>
      <c r="AF162657" s="34"/>
    </row>
    <row r="162665" spans="31:32" x14ac:dyDescent="0.25">
      <c r="AE162665" s="36"/>
      <c r="AF162665" s="36"/>
    </row>
    <row r="162761" spans="31:32" x14ac:dyDescent="0.25">
      <c r="AE162761" s="34"/>
      <c r="AF162761" s="34"/>
    </row>
    <row r="162769" spans="31:32" x14ac:dyDescent="0.25">
      <c r="AE162769" s="36"/>
      <c r="AF162769" s="36"/>
    </row>
    <row r="162865" spans="31:32" x14ac:dyDescent="0.25">
      <c r="AE162865" s="34"/>
      <c r="AF162865" s="34"/>
    </row>
    <row r="162873" spans="31:32" x14ac:dyDescent="0.25">
      <c r="AE162873" s="36"/>
      <c r="AF162873" s="36"/>
    </row>
    <row r="162969" spans="31:32" x14ac:dyDescent="0.25">
      <c r="AE162969" s="34"/>
      <c r="AF162969" s="34"/>
    </row>
    <row r="162977" spans="31:32" x14ac:dyDescent="0.25">
      <c r="AE162977" s="36"/>
      <c r="AF162977" s="36"/>
    </row>
    <row r="163073" spans="31:32" x14ac:dyDescent="0.25">
      <c r="AE163073" s="34"/>
      <c r="AF163073" s="34"/>
    </row>
    <row r="163081" spans="31:32" x14ac:dyDescent="0.25">
      <c r="AE163081" s="36"/>
      <c r="AF163081" s="36"/>
    </row>
    <row r="163177" spans="31:32" x14ac:dyDescent="0.25">
      <c r="AE163177" s="34"/>
      <c r="AF163177" s="34"/>
    </row>
    <row r="163185" spans="31:32" x14ac:dyDescent="0.25">
      <c r="AE163185" s="36"/>
      <c r="AF163185" s="36"/>
    </row>
    <row r="163281" spans="31:32" x14ac:dyDescent="0.25">
      <c r="AE163281" s="34"/>
      <c r="AF163281" s="34"/>
    </row>
    <row r="163289" spans="31:32" x14ac:dyDescent="0.25">
      <c r="AE163289" s="36"/>
      <c r="AF163289" s="36"/>
    </row>
    <row r="163385" spans="31:32" x14ac:dyDescent="0.25">
      <c r="AE163385" s="34"/>
      <c r="AF163385" s="34"/>
    </row>
    <row r="163393" spans="31:32" x14ac:dyDescent="0.25">
      <c r="AE163393" s="36"/>
      <c r="AF163393" s="36"/>
    </row>
    <row r="163489" spans="31:32" x14ac:dyDescent="0.25">
      <c r="AE163489" s="34"/>
      <c r="AF163489" s="34"/>
    </row>
    <row r="163497" spans="31:32" x14ac:dyDescent="0.25">
      <c r="AE163497" s="36"/>
      <c r="AF163497" s="36"/>
    </row>
    <row r="163593" spans="31:32" x14ac:dyDescent="0.25">
      <c r="AE163593" s="34"/>
      <c r="AF163593" s="34"/>
    </row>
    <row r="163601" spans="31:32" x14ac:dyDescent="0.25">
      <c r="AE163601" s="36"/>
      <c r="AF163601" s="36"/>
    </row>
    <row r="163697" spans="31:32" x14ac:dyDescent="0.25">
      <c r="AE163697" s="34"/>
      <c r="AF163697" s="34"/>
    </row>
    <row r="163705" spans="31:32" x14ac:dyDescent="0.25">
      <c r="AE163705" s="36"/>
      <c r="AF163705" s="36"/>
    </row>
    <row r="163801" spans="31:32" x14ac:dyDescent="0.25">
      <c r="AE163801" s="34"/>
      <c r="AF163801" s="34"/>
    </row>
    <row r="163809" spans="31:32" x14ac:dyDescent="0.25">
      <c r="AE163809" s="36"/>
      <c r="AF163809" s="36"/>
    </row>
    <row r="163905" spans="31:32" x14ac:dyDescent="0.25">
      <c r="AE163905" s="34"/>
      <c r="AF163905" s="34"/>
    </row>
    <row r="163913" spans="31:32" x14ac:dyDescent="0.25">
      <c r="AE163913" s="36"/>
      <c r="AF163913" s="36"/>
    </row>
    <row r="164009" spans="31:32" x14ac:dyDescent="0.25">
      <c r="AE164009" s="34"/>
      <c r="AF164009" s="34"/>
    </row>
    <row r="164017" spans="31:32" x14ac:dyDescent="0.25">
      <c r="AE164017" s="36"/>
      <c r="AF164017" s="36"/>
    </row>
    <row r="164113" spans="31:32" x14ac:dyDescent="0.25">
      <c r="AE164113" s="34"/>
      <c r="AF164113" s="34"/>
    </row>
    <row r="164121" spans="31:32" x14ac:dyDescent="0.25">
      <c r="AE164121" s="36"/>
      <c r="AF164121" s="36"/>
    </row>
    <row r="164217" spans="31:32" x14ac:dyDescent="0.25">
      <c r="AE164217" s="34"/>
      <c r="AF164217" s="34"/>
    </row>
    <row r="164225" spans="31:32" x14ac:dyDescent="0.25">
      <c r="AE164225" s="36"/>
      <c r="AF164225" s="36"/>
    </row>
    <row r="164321" spans="31:32" x14ac:dyDescent="0.25">
      <c r="AE164321" s="34"/>
      <c r="AF164321" s="34"/>
    </row>
    <row r="164329" spans="31:32" x14ac:dyDescent="0.25">
      <c r="AE164329" s="36"/>
      <c r="AF164329" s="36"/>
    </row>
    <row r="164425" spans="31:32" x14ac:dyDescent="0.25">
      <c r="AE164425" s="34"/>
      <c r="AF164425" s="34"/>
    </row>
    <row r="164433" spans="31:32" x14ac:dyDescent="0.25">
      <c r="AE164433" s="36"/>
      <c r="AF164433" s="36"/>
    </row>
    <row r="164529" spans="31:32" x14ac:dyDescent="0.25">
      <c r="AE164529" s="34"/>
      <c r="AF164529" s="34"/>
    </row>
    <row r="164537" spans="31:32" x14ac:dyDescent="0.25">
      <c r="AE164537" s="36"/>
      <c r="AF164537" s="36"/>
    </row>
    <row r="164633" spans="31:32" x14ac:dyDescent="0.25">
      <c r="AE164633" s="34"/>
      <c r="AF164633" s="34"/>
    </row>
    <row r="164641" spans="31:32" x14ac:dyDescent="0.25">
      <c r="AE164641" s="36"/>
      <c r="AF164641" s="36"/>
    </row>
    <row r="164737" spans="31:32" x14ac:dyDescent="0.25">
      <c r="AE164737" s="34"/>
      <c r="AF164737" s="34"/>
    </row>
    <row r="164745" spans="31:32" x14ac:dyDescent="0.25">
      <c r="AE164745" s="36"/>
      <c r="AF164745" s="36"/>
    </row>
    <row r="164841" spans="31:32" x14ac:dyDescent="0.25">
      <c r="AE164841" s="34"/>
      <c r="AF164841" s="34"/>
    </row>
    <row r="164849" spans="31:32" x14ac:dyDescent="0.25">
      <c r="AE164849" s="36"/>
      <c r="AF164849" s="36"/>
    </row>
    <row r="164945" spans="31:32" x14ac:dyDescent="0.25">
      <c r="AE164945" s="34"/>
      <c r="AF164945" s="34"/>
    </row>
    <row r="164953" spans="31:32" x14ac:dyDescent="0.25">
      <c r="AE164953" s="36"/>
      <c r="AF164953" s="36"/>
    </row>
    <row r="165049" spans="31:32" x14ac:dyDescent="0.25">
      <c r="AE165049" s="34"/>
      <c r="AF165049" s="34"/>
    </row>
    <row r="165057" spans="31:32" x14ac:dyDescent="0.25">
      <c r="AE165057" s="36"/>
      <c r="AF165057" s="36"/>
    </row>
    <row r="165153" spans="31:32" x14ac:dyDescent="0.25">
      <c r="AE165153" s="34"/>
      <c r="AF165153" s="34"/>
    </row>
    <row r="165161" spans="31:32" x14ac:dyDescent="0.25">
      <c r="AE165161" s="36"/>
      <c r="AF165161" s="36"/>
    </row>
    <row r="165257" spans="31:32" x14ac:dyDescent="0.25">
      <c r="AE165257" s="34"/>
      <c r="AF165257" s="34"/>
    </row>
    <row r="165265" spans="31:32" x14ac:dyDescent="0.25">
      <c r="AE165265" s="36"/>
      <c r="AF165265" s="36"/>
    </row>
    <row r="165361" spans="31:32" x14ac:dyDescent="0.25">
      <c r="AE165361" s="34"/>
      <c r="AF165361" s="34"/>
    </row>
    <row r="165369" spans="31:32" x14ac:dyDescent="0.25">
      <c r="AE165369" s="36"/>
      <c r="AF165369" s="36"/>
    </row>
    <row r="165465" spans="31:32" x14ac:dyDescent="0.25">
      <c r="AE165465" s="34"/>
      <c r="AF165465" s="34"/>
    </row>
    <row r="165473" spans="31:32" x14ac:dyDescent="0.25">
      <c r="AE165473" s="36"/>
      <c r="AF165473" s="36"/>
    </row>
    <row r="165569" spans="31:32" x14ac:dyDescent="0.25">
      <c r="AE165569" s="34"/>
      <c r="AF165569" s="34"/>
    </row>
    <row r="165577" spans="31:32" x14ac:dyDescent="0.25">
      <c r="AE165577" s="36"/>
      <c r="AF165577" s="36"/>
    </row>
    <row r="165673" spans="31:32" x14ac:dyDescent="0.25">
      <c r="AE165673" s="34"/>
      <c r="AF165673" s="34"/>
    </row>
    <row r="165681" spans="31:32" x14ac:dyDescent="0.25">
      <c r="AE165681" s="36"/>
      <c r="AF165681" s="36"/>
    </row>
    <row r="165777" spans="31:32" x14ac:dyDescent="0.25">
      <c r="AE165777" s="34"/>
      <c r="AF165777" s="34"/>
    </row>
    <row r="165785" spans="31:32" x14ac:dyDescent="0.25">
      <c r="AE165785" s="36"/>
      <c r="AF165785" s="36"/>
    </row>
    <row r="165881" spans="31:32" x14ac:dyDescent="0.25">
      <c r="AE165881" s="34"/>
      <c r="AF165881" s="34"/>
    </row>
    <row r="165889" spans="31:32" x14ac:dyDescent="0.25">
      <c r="AE165889" s="36"/>
      <c r="AF165889" s="36"/>
    </row>
    <row r="165985" spans="31:32" x14ac:dyDescent="0.25">
      <c r="AE165985" s="34"/>
      <c r="AF165985" s="34"/>
    </row>
    <row r="165993" spans="31:32" x14ac:dyDescent="0.25">
      <c r="AE165993" s="36"/>
      <c r="AF165993" s="36"/>
    </row>
    <row r="166089" spans="31:32" x14ac:dyDescent="0.25">
      <c r="AE166089" s="34"/>
      <c r="AF166089" s="34"/>
    </row>
    <row r="166097" spans="31:32" x14ac:dyDescent="0.25">
      <c r="AE166097" s="36"/>
      <c r="AF166097" s="36"/>
    </row>
    <row r="166193" spans="31:32" x14ac:dyDescent="0.25">
      <c r="AE166193" s="34"/>
      <c r="AF166193" s="34"/>
    </row>
    <row r="166201" spans="31:32" x14ac:dyDescent="0.25">
      <c r="AE166201" s="36"/>
      <c r="AF166201" s="36"/>
    </row>
    <row r="166297" spans="31:32" x14ac:dyDescent="0.25">
      <c r="AE166297" s="34"/>
      <c r="AF166297" s="34"/>
    </row>
    <row r="166305" spans="31:32" x14ac:dyDescent="0.25">
      <c r="AE166305" s="36"/>
      <c r="AF166305" s="36"/>
    </row>
    <row r="166401" spans="31:32" x14ac:dyDescent="0.25">
      <c r="AE166401" s="34"/>
      <c r="AF166401" s="34"/>
    </row>
    <row r="166409" spans="31:32" x14ac:dyDescent="0.25">
      <c r="AE166409" s="36"/>
      <c r="AF166409" s="36"/>
    </row>
    <row r="166505" spans="31:32" x14ac:dyDescent="0.25">
      <c r="AE166505" s="34"/>
      <c r="AF166505" s="34"/>
    </row>
    <row r="166513" spans="31:32" x14ac:dyDescent="0.25">
      <c r="AE166513" s="36"/>
      <c r="AF166513" s="36"/>
    </row>
    <row r="166609" spans="31:32" x14ac:dyDescent="0.25">
      <c r="AE166609" s="34"/>
      <c r="AF166609" s="34"/>
    </row>
    <row r="166617" spans="31:32" x14ac:dyDescent="0.25">
      <c r="AE166617" s="36"/>
      <c r="AF166617" s="36"/>
    </row>
    <row r="166713" spans="31:32" x14ac:dyDescent="0.25">
      <c r="AE166713" s="34"/>
      <c r="AF166713" s="34"/>
    </row>
    <row r="166721" spans="31:32" x14ac:dyDescent="0.25">
      <c r="AE166721" s="36"/>
      <c r="AF166721" s="36"/>
    </row>
    <row r="166817" spans="31:32" x14ac:dyDescent="0.25">
      <c r="AE166817" s="34"/>
      <c r="AF166817" s="34"/>
    </row>
    <row r="166825" spans="31:32" x14ac:dyDescent="0.25">
      <c r="AE166825" s="36"/>
      <c r="AF166825" s="36"/>
    </row>
    <row r="166921" spans="31:32" x14ac:dyDescent="0.25">
      <c r="AE166921" s="34"/>
      <c r="AF166921" s="34"/>
    </row>
    <row r="166929" spans="31:32" x14ac:dyDescent="0.25">
      <c r="AE166929" s="36"/>
      <c r="AF166929" s="36"/>
    </row>
    <row r="167025" spans="31:32" x14ac:dyDescent="0.25">
      <c r="AE167025" s="34"/>
      <c r="AF167025" s="34"/>
    </row>
    <row r="167033" spans="31:32" x14ac:dyDescent="0.25">
      <c r="AE167033" s="36"/>
      <c r="AF167033" s="36"/>
    </row>
    <row r="167129" spans="31:32" x14ac:dyDescent="0.25">
      <c r="AE167129" s="34"/>
      <c r="AF167129" s="34"/>
    </row>
    <row r="167137" spans="31:32" x14ac:dyDescent="0.25">
      <c r="AE167137" s="36"/>
      <c r="AF167137" s="36"/>
    </row>
    <row r="167233" spans="31:32" x14ac:dyDescent="0.25">
      <c r="AE167233" s="34"/>
      <c r="AF167233" s="34"/>
    </row>
    <row r="167241" spans="31:32" x14ac:dyDescent="0.25">
      <c r="AE167241" s="36"/>
      <c r="AF167241" s="36"/>
    </row>
    <row r="167337" spans="31:32" x14ac:dyDescent="0.25">
      <c r="AE167337" s="34"/>
      <c r="AF167337" s="34"/>
    </row>
    <row r="167345" spans="31:32" x14ac:dyDescent="0.25">
      <c r="AE167345" s="36"/>
      <c r="AF167345" s="36"/>
    </row>
    <row r="167441" spans="31:32" x14ac:dyDescent="0.25">
      <c r="AE167441" s="34"/>
      <c r="AF167441" s="34"/>
    </row>
    <row r="167449" spans="31:32" x14ac:dyDescent="0.25">
      <c r="AE167449" s="36"/>
      <c r="AF167449" s="36"/>
    </row>
    <row r="167545" spans="31:32" x14ac:dyDescent="0.25">
      <c r="AE167545" s="34"/>
      <c r="AF167545" s="34"/>
    </row>
    <row r="167553" spans="31:32" x14ac:dyDescent="0.25">
      <c r="AE167553" s="36"/>
      <c r="AF167553" s="36"/>
    </row>
    <row r="167649" spans="31:32" x14ac:dyDescent="0.25">
      <c r="AE167649" s="34"/>
      <c r="AF167649" s="34"/>
    </row>
    <row r="167657" spans="31:32" x14ac:dyDescent="0.25">
      <c r="AE167657" s="36"/>
      <c r="AF167657" s="36"/>
    </row>
    <row r="167753" spans="31:32" x14ac:dyDescent="0.25">
      <c r="AE167753" s="34"/>
      <c r="AF167753" s="34"/>
    </row>
    <row r="167761" spans="31:32" x14ac:dyDescent="0.25">
      <c r="AE167761" s="36"/>
      <c r="AF167761" s="36"/>
    </row>
    <row r="167857" spans="31:32" x14ac:dyDescent="0.25">
      <c r="AE167857" s="34"/>
      <c r="AF167857" s="34"/>
    </row>
    <row r="167865" spans="31:32" x14ac:dyDescent="0.25">
      <c r="AE167865" s="36"/>
      <c r="AF167865" s="36"/>
    </row>
    <row r="167961" spans="31:32" x14ac:dyDescent="0.25">
      <c r="AE167961" s="34"/>
      <c r="AF167961" s="34"/>
    </row>
    <row r="167969" spans="31:32" x14ac:dyDescent="0.25">
      <c r="AE167969" s="36"/>
      <c r="AF167969" s="36"/>
    </row>
    <row r="168065" spans="31:32" x14ac:dyDescent="0.25">
      <c r="AE168065" s="34"/>
      <c r="AF168065" s="34"/>
    </row>
    <row r="168073" spans="31:32" x14ac:dyDescent="0.25">
      <c r="AE168073" s="36"/>
      <c r="AF168073" s="36"/>
    </row>
    <row r="168169" spans="31:32" x14ac:dyDescent="0.25">
      <c r="AE168169" s="34"/>
      <c r="AF168169" s="34"/>
    </row>
    <row r="168177" spans="31:32" x14ac:dyDescent="0.25">
      <c r="AE168177" s="36"/>
      <c r="AF168177" s="36"/>
    </row>
    <row r="168273" spans="31:32" x14ac:dyDescent="0.25">
      <c r="AE168273" s="34"/>
      <c r="AF168273" s="34"/>
    </row>
    <row r="168281" spans="31:32" x14ac:dyDescent="0.25">
      <c r="AE168281" s="36"/>
      <c r="AF168281" s="36"/>
    </row>
    <row r="168377" spans="31:32" x14ac:dyDescent="0.25">
      <c r="AE168377" s="34"/>
      <c r="AF168377" s="34"/>
    </row>
    <row r="168385" spans="31:32" x14ac:dyDescent="0.25">
      <c r="AE168385" s="36"/>
      <c r="AF168385" s="36"/>
    </row>
    <row r="168481" spans="31:32" x14ac:dyDescent="0.25">
      <c r="AE168481" s="34"/>
      <c r="AF168481" s="34"/>
    </row>
    <row r="168489" spans="31:32" x14ac:dyDescent="0.25">
      <c r="AE168489" s="36"/>
      <c r="AF168489" s="36"/>
    </row>
    <row r="168585" spans="31:32" x14ac:dyDescent="0.25">
      <c r="AE168585" s="34"/>
      <c r="AF168585" s="34"/>
    </row>
    <row r="168593" spans="31:32" x14ac:dyDescent="0.25">
      <c r="AE168593" s="36"/>
      <c r="AF168593" s="36"/>
    </row>
    <row r="168689" spans="31:32" x14ac:dyDescent="0.25">
      <c r="AE168689" s="34"/>
      <c r="AF168689" s="34"/>
    </row>
    <row r="168697" spans="31:32" x14ac:dyDescent="0.25">
      <c r="AE168697" s="36"/>
      <c r="AF168697" s="36"/>
    </row>
    <row r="168793" spans="31:32" x14ac:dyDescent="0.25">
      <c r="AE168793" s="34"/>
      <c r="AF168793" s="34"/>
    </row>
    <row r="168801" spans="31:32" x14ac:dyDescent="0.25">
      <c r="AE168801" s="36"/>
      <c r="AF168801" s="36"/>
    </row>
    <row r="168897" spans="31:32" x14ac:dyDescent="0.25">
      <c r="AE168897" s="34"/>
      <c r="AF168897" s="34"/>
    </row>
    <row r="168905" spans="31:32" x14ac:dyDescent="0.25">
      <c r="AE168905" s="36"/>
      <c r="AF168905" s="36"/>
    </row>
    <row r="169001" spans="31:32" x14ac:dyDescent="0.25">
      <c r="AE169001" s="34"/>
      <c r="AF169001" s="34"/>
    </row>
    <row r="169009" spans="31:32" x14ac:dyDescent="0.25">
      <c r="AE169009" s="36"/>
      <c r="AF169009" s="36"/>
    </row>
    <row r="169105" spans="31:32" x14ac:dyDescent="0.25">
      <c r="AE169105" s="34"/>
      <c r="AF169105" s="34"/>
    </row>
    <row r="169113" spans="31:32" x14ac:dyDescent="0.25">
      <c r="AE169113" s="36"/>
      <c r="AF169113" s="36"/>
    </row>
    <row r="169209" spans="31:32" x14ac:dyDescent="0.25">
      <c r="AE169209" s="34"/>
      <c r="AF169209" s="34"/>
    </row>
    <row r="169217" spans="31:32" x14ac:dyDescent="0.25">
      <c r="AE169217" s="36"/>
      <c r="AF169217" s="36"/>
    </row>
    <row r="169313" spans="31:32" x14ac:dyDescent="0.25">
      <c r="AE169313" s="34"/>
      <c r="AF169313" s="34"/>
    </row>
    <row r="169321" spans="31:32" x14ac:dyDescent="0.25">
      <c r="AE169321" s="36"/>
      <c r="AF169321" s="36"/>
    </row>
    <row r="169417" spans="31:32" x14ac:dyDescent="0.25">
      <c r="AE169417" s="34"/>
      <c r="AF169417" s="34"/>
    </row>
    <row r="169425" spans="31:32" x14ac:dyDescent="0.25">
      <c r="AE169425" s="36"/>
      <c r="AF169425" s="36"/>
    </row>
    <row r="169521" spans="31:32" x14ac:dyDescent="0.25">
      <c r="AE169521" s="34"/>
      <c r="AF169521" s="34"/>
    </row>
    <row r="169529" spans="31:32" x14ac:dyDescent="0.25">
      <c r="AE169529" s="36"/>
      <c r="AF169529" s="36"/>
    </row>
    <row r="169625" spans="31:32" x14ac:dyDescent="0.25">
      <c r="AE169625" s="34"/>
      <c r="AF169625" s="34"/>
    </row>
    <row r="169633" spans="31:32" x14ac:dyDescent="0.25">
      <c r="AE169633" s="36"/>
      <c r="AF169633" s="36"/>
    </row>
    <row r="169729" spans="31:32" x14ac:dyDescent="0.25">
      <c r="AE169729" s="34"/>
      <c r="AF169729" s="34"/>
    </row>
    <row r="169737" spans="31:32" x14ac:dyDescent="0.25">
      <c r="AE169737" s="36"/>
      <c r="AF169737" s="36"/>
    </row>
    <row r="169833" spans="31:32" x14ac:dyDescent="0.25">
      <c r="AE169833" s="34"/>
      <c r="AF169833" s="34"/>
    </row>
    <row r="169841" spans="31:32" x14ac:dyDescent="0.25">
      <c r="AE169841" s="36"/>
      <c r="AF169841" s="36"/>
    </row>
    <row r="169937" spans="31:32" x14ac:dyDescent="0.25">
      <c r="AE169937" s="34"/>
      <c r="AF169937" s="34"/>
    </row>
    <row r="169945" spans="31:32" x14ac:dyDescent="0.25">
      <c r="AE169945" s="36"/>
      <c r="AF169945" s="36"/>
    </row>
    <row r="170041" spans="31:32" x14ac:dyDescent="0.25">
      <c r="AE170041" s="34"/>
      <c r="AF170041" s="34"/>
    </row>
    <row r="170049" spans="31:32" x14ac:dyDescent="0.25">
      <c r="AE170049" s="36"/>
      <c r="AF170049" s="36"/>
    </row>
    <row r="170145" spans="31:32" x14ac:dyDescent="0.25">
      <c r="AE170145" s="34"/>
      <c r="AF170145" s="34"/>
    </row>
    <row r="170153" spans="31:32" x14ac:dyDescent="0.25">
      <c r="AE170153" s="36"/>
      <c r="AF170153" s="36"/>
    </row>
    <row r="170249" spans="31:32" x14ac:dyDescent="0.25">
      <c r="AE170249" s="34"/>
      <c r="AF170249" s="34"/>
    </row>
    <row r="170257" spans="31:32" x14ac:dyDescent="0.25">
      <c r="AE170257" s="36"/>
      <c r="AF170257" s="36"/>
    </row>
    <row r="170353" spans="31:32" x14ac:dyDescent="0.25">
      <c r="AE170353" s="34"/>
      <c r="AF170353" s="34"/>
    </row>
    <row r="170361" spans="31:32" x14ac:dyDescent="0.25">
      <c r="AE170361" s="36"/>
      <c r="AF170361" s="36"/>
    </row>
    <row r="170457" spans="31:32" x14ac:dyDescent="0.25">
      <c r="AE170457" s="34"/>
      <c r="AF170457" s="34"/>
    </row>
    <row r="170465" spans="31:32" x14ac:dyDescent="0.25">
      <c r="AE170465" s="36"/>
      <c r="AF170465" s="36"/>
    </row>
    <row r="170561" spans="31:32" x14ac:dyDescent="0.25">
      <c r="AE170561" s="34"/>
      <c r="AF170561" s="34"/>
    </row>
    <row r="170569" spans="31:32" x14ac:dyDescent="0.25">
      <c r="AE170569" s="36"/>
      <c r="AF170569" s="36"/>
    </row>
    <row r="170665" spans="31:32" x14ac:dyDescent="0.25">
      <c r="AE170665" s="34"/>
      <c r="AF170665" s="34"/>
    </row>
    <row r="170673" spans="31:32" x14ac:dyDescent="0.25">
      <c r="AE170673" s="36"/>
      <c r="AF170673" s="36"/>
    </row>
    <row r="170769" spans="31:32" x14ac:dyDescent="0.25">
      <c r="AE170769" s="34"/>
      <c r="AF170769" s="34"/>
    </row>
    <row r="170777" spans="31:32" x14ac:dyDescent="0.25">
      <c r="AE170777" s="36"/>
      <c r="AF170777" s="36"/>
    </row>
    <row r="170873" spans="31:32" x14ac:dyDescent="0.25">
      <c r="AE170873" s="34"/>
      <c r="AF170873" s="34"/>
    </row>
    <row r="170881" spans="31:32" x14ac:dyDescent="0.25">
      <c r="AE170881" s="36"/>
      <c r="AF170881" s="36"/>
    </row>
    <row r="170977" spans="31:32" x14ac:dyDescent="0.25">
      <c r="AE170977" s="34"/>
      <c r="AF170977" s="34"/>
    </row>
    <row r="170985" spans="31:32" x14ac:dyDescent="0.25">
      <c r="AE170985" s="36"/>
      <c r="AF170985" s="36"/>
    </row>
    <row r="171081" spans="31:32" x14ac:dyDescent="0.25">
      <c r="AE171081" s="34"/>
      <c r="AF171081" s="34"/>
    </row>
    <row r="171089" spans="31:32" x14ac:dyDescent="0.25">
      <c r="AE171089" s="36"/>
      <c r="AF171089" s="36"/>
    </row>
    <row r="171185" spans="31:32" x14ac:dyDescent="0.25">
      <c r="AE171185" s="34"/>
      <c r="AF171185" s="34"/>
    </row>
    <row r="171193" spans="31:32" x14ac:dyDescent="0.25">
      <c r="AE171193" s="36"/>
      <c r="AF171193" s="36"/>
    </row>
    <row r="171289" spans="31:32" x14ac:dyDescent="0.25">
      <c r="AE171289" s="34"/>
      <c r="AF171289" s="34"/>
    </row>
    <row r="171297" spans="31:32" x14ac:dyDescent="0.25">
      <c r="AE171297" s="36"/>
      <c r="AF171297" s="36"/>
    </row>
    <row r="171393" spans="31:32" x14ac:dyDescent="0.25">
      <c r="AE171393" s="34"/>
      <c r="AF171393" s="34"/>
    </row>
    <row r="171401" spans="31:32" x14ac:dyDescent="0.25">
      <c r="AE171401" s="36"/>
      <c r="AF171401" s="36"/>
    </row>
    <row r="171497" spans="31:32" x14ac:dyDescent="0.25">
      <c r="AE171497" s="34"/>
      <c r="AF171497" s="34"/>
    </row>
    <row r="171505" spans="31:32" x14ac:dyDescent="0.25">
      <c r="AE171505" s="36"/>
      <c r="AF171505" s="36"/>
    </row>
    <row r="171601" spans="31:32" x14ac:dyDescent="0.25">
      <c r="AE171601" s="34"/>
      <c r="AF171601" s="34"/>
    </row>
    <row r="171609" spans="31:32" x14ac:dyDescent="0.25">
      <c r="AE171609" s="36"/>
      <c r="AF171609" s="36"/>
    </row>
    <row r="171705" spans="31:32" x14ac:dyDescent="0.25">
      <c r="AE171705" s="34"/>
      <c r="AF171705" s="34"/>
    </row>
    <row r="171713" spans="31:32" x14ac:dyDescent="0.25">
      <c r="AE171713" s="36"/>
      <c r="AF171713" s="36"/>
    </row>
    <row r="171809" spans="31:32" x14ac:dyDescent="0.25">
      <c r="AE171809" s="34"/>
      <c r="AF171809" s="34"/>
    </row>
    <row r="171817" spans="31:32" x14ac:dyDescent="0.25">
      <c r="AE171817" s="36"/>
      <c r="AF171817" s="36"/>
    </row>
    <row r="171913" spans="31:32" x14ac:dyDescent="0.25">
      <c r="AE171913" s="34"/>
      <c r="AF171913" s="34"/>
    </row>
    <row r="171921" spans="31:32" x14ac:dyDescent="0.25">
      <c r="AE171921" s="36"/>
      <c r="AF171921" s="36"/>
    </row>
    <row r="172017" spans="31:32" x14ac:dyDescent="0.25">
      <c r="AE172017" s="34"/>
      <c r="AF172017" s="34"/>
    </row>
    <row r="172025" spans="31:32" x14ac:dyDescent="0.25">
      <c r="AE172025" s="36"/>
      <c r="AF172025" s="36"/>
    </row>
    <row r="172121" spans="31:32" x14ac:dyDescent="0.25">
      <c r="AE172121" s="34"/>
      <c r="AF172121" s="34"/>
    </row>
    <row r="172129" spans="31:32" x14ac:dyDescent="0.25">
      <c r="AE172129" s="36"/>
      <c r="AF172129" s="36"/>
    </row>
    <row r="172225" spans="31:32" x14ac:dyDescent="0.25">
      <c r="AE172225" s="34"/>
      <c r="AF172225" s="34"/>
    </row>
    <row r="172233" spans="31:32" x14ac:dyDescent="0.25">
      <c r="AE172233" s="36"/>
      <c r="AF172233" s="36"/>
    </row>
    <row r="172329" spans="31:32" x14ac:dyDescent="0.25">
      <c r="AE172329" s="34"/>
      <c r="AF172329" s="34"/>
    </row>
    <row r="172337" spans="31:32" x14ac:dyDescent="0.25">
      <c r="AE172337" s="36"/>
      <c r="AF172337" s="36"/>
    </row>
    <row r="172433" spans="31:32" x14ac:dyDescent="0.25">
      <c r="AE172433" s="34"/>
      <c r="AF172433" s="34"/>
    </row>
    <row r="172441" spans="31:32" x14ac:dyDescent="0.25">
      <c r="AE172441" s="36"/>
      <c r="AF172441" s="36"/>
    </row>
    <row r="172537" spans="31:32" x14ac:dyDescent="0.25">
      <c r="AE172537" s="34"/>
      <c r="AF172537" s="34"/>
    </row>
    <row r="172545" spans="31:32" x14ac:dyDescent="0.25">
      <c r="AE172545" s="36"/>
      <c r="AF172545" s="36"/>
    </row>
    <row r="172641" spans="31:32" x14ac:dyDescent="0.25">
      <c r="AE172641" s="34"/>
      <c r="AF172641" s="34"/>
    </row>
    <row r="172649" spans="31:32" x14ac:dyDescent="0.25">
      <c r="AE172649" s="36"/>
      <c r="AF172649" s="36"/>
    </row>
    <row r="172745" spans="31:32" x14ac:dyDescent="0.25">
      <c r="AE172745" s="34"/>
      <c r="AF172745" s="34"/>
    </row>
    <row r="172753" spans="31:32" x14ac:dyDescent="0.25">
      <c r="AE172753" s="36"/>
      <c r="AF172753" s="36"/>
    </row>
    <row r="172849" spans="31:32" x14ac:dyDescent="0.25">
      <c r="AE172849" s="34"/>
      <c r="AF172849" s="34"/>
    </row>
    <row r="172857" spans="31:32" x14ac:dyDescent="0.25">
      <c r="AE172857" s="36"/>
      <c r="AF172857" s="36"/>
    </row>
    <row r="172953" spans="31:32" x14ac:dyDescent="0.25">
      <c r="AE172953" s="34"/>
      <c r="AF172953" s="34"/>
    </row>
    <row r="172961" spans="31:32" x14ac:dyDescent="0.25">
      <c r="AE172961" s="36"/>
      <c r="AF172961" s="36"/>
    </row>
    <row r="173057" spans="31:32" x14ac:dyDescent="0.25">
      <c r="AE173057" s="34"/>
      <c r="AF173057" s="34"/>
    </row>
    <row r="173065" spans="31:32" x14ac:dyDescent="0.25">
      <c r="AE173065" s="36"/>
      <c r="AF173065" s="36"/>
    </row>
    <row r="173161" spans="31:32" x14ac:dyDescent="0.25">
      <c r="AE173161" s="34"/>
      <c r="AF173161" s="34"/>
    </row>
    <row r="173169" spans="31:32" x14ac:dyDescent="0.25">
      <c r="AE173169" s="36"/>
      <c r="AF173169" s="36"/>
    </row>
    <row r="173265" spans="31:32" x14ac:dyDescent="0.25">
      <c r="AE173265" s="34"/>
      <c r="AF173265" s="34"/>
    </row>
    <row r="173273" spans="31:32" x14ac:dyDescent="0.25">
      <c r="AE173273" s="36"/>
      <c r="AF173273" s="36"/>
    </row>
    <row r="173369" spans="31:32" x14ac:dyDescent="0.25">
      <c r="AE173369" s="34"/>
      <c r="AF173369" s="34"/>
    </row>
    <row r="173377" spans="31:32" x14ac:dyDescent="0.25">
      <c r="AE173377" s="36"/>
      <c r="AF173377" s="36"/>
    </row>
    <row r="173473" spans="31:32" x14ac:dyDescent="0.25">
      <c r="AE173473" s="34"/>
      <c r="AF173473" s="34"/>
    </row>
    <row r="173481" spans="31:32" x14ac:dyDescent="0.25">
      <c r="AE173481" s="36"/>
      <c r="AF173481" s="36"/>
    </row>
    <row r="173577" spans="31:32" x14ac:dyDescent="0.25">
      <c r="AE173577" s="34"/>
      <c r="AF173577" s="34"/>
    </row>
    <row r="173585" spans="31:32" x14ac:dyDescent="0.25">
      <c r="AE173585" s="36"/>
      <c r="AF173585" s="36"/>
    </row>
    <row r="173681" spans="31:32" x14ac:dyDescent="0.25">
      <c r="AE173681" s="34"/>
      <c r="AF173681" s="34"/>
    </row>
    <row r="173689" spans="31:32" x14ac:dyDescent="0.25">
      <c r="AE173689" s="36"/>
      <c r="AF173689" s="36"/>
    </row>
    <row r="173785" spans="31:32" x14ac:dyDescent="0.25">
      <c r="AE173785" s="34"/>
      <c r="AF173785" s="34"/>
    </row>
    <row r="173793" spans="31:32" x14ac:dyDescent="0.25">
      <c r="AE173793" s="36"/>
      <c r="AF173793" s="36"/>
    </row>
    <row r="173889" spans="31:32" x14ac:dyDescent="0.25">
      <c r="AE173889" s="34"/>
      <c r="AF173889" s="34"/>
    </row>
    <row r="173897" spans="31:32" x14ac:dyDescent="0.25">
      <c r="AE173897" s="36"/>
      <c r="AF173897" s="36"/>
    </row>
    <row r="173993" spans="31:32" x14ac:dyDescent="0.25">
      <c r="AE173993" s="34"/>
      <c r="AF173993" s="34"/>
    </row>
    <row r="174001" spans="31:32" x14ac:dyDescent="0.25">
      <c r="AE174001" s="36"/>
      <c r="AF174001" s="36"/>
    </row>
    <row r="174097" spans="31:32" x14ac:dyDescent="0.25">
      <c r="AE174097" s="34"/>
      <c r="AF174097" s="34"/>
    </row>
    <row r="174105" spans="31:32" x14ac:dyDescent="0.25">
      <c r="AE174105" s="36"/>
      <c r="AF174105" s="36"/>
    </row>
    <row r="174201" spans="31:32" x14ac:dyDescent="0.25">
      <c r="AE174201" s="34"/>
      <c r="AF174201" s="34"/>
    </row>
    <row r="174209" spans="31:32" x14ac:dyDescent="0.25">
      <c r="AE174209" s="36"/>
      <c r="AF174209" s="36"/>
    </row>
    <row r="174305" spans="31:32" x14ac:dyDescent="0.25">
      <c r="AE174305" s="34"/>
      <c r="AF174305" s="34"/>
    </row>
    <row r="174313" spans="31:32" x14ac:dyDescent="0.25">
      <c r="AE174313" s="36"/>
      <c r="AF174313" s="36"/>
    </row>
    <row r="174409" spans="31:32" x14ac:dyDescent="0.25">
      <c r="AE174409" s="34"/>
      <c r="AF174409" s="34"/>
    </row>
    <row r="174417" spans="31:32" x14ac:dyDescent="0.25">
      <c r="AE174417" s="36"/>
      <c r="AF174417" s="36"/>
    </row>
    <row r="174513" spans="31:32" x14ac:dyDescent="0.25">
      <c r="AE174513" s="34"/>
      <c r="AF174513" s="34"/>
    </row>
    <row r="174521" spans="31:32" x14ac:dyDescent="0.25">
      <c r="AE174521" s="36"/>
      <c r="AF174521" s="36"/>
    </row>
    <row r="174617" spans="31:32" x14ac:dyDescent="0.25">
      <c r="AE174617" s="34"/>
      <c r="AF174617" s="34"/>
    </row>
    <row r="174625" spans="31:32" x14ac:dyDescent="0.25">
      <c r="AE174625" s="36"/>
      <c r="AF174625" s="36"/>
    </row>
    <row r="174721" spans="31:32" x14ac:dyDescent="0.25">
      <c r="AE174721" s="34"/>
      <c r="AF174721" s="34"/>
    </row>
    <row r="174729" spans="31:32" x14ac:dyDescent="0.25">
      <c r="AE174729" s="36"/>
      <c r="AF174729" s="36"/>
    </row>
    <row r="174825" spans="31:32" x14ac:dyDescent="0.25">
      <c r="AE174825" s="34"/>
      <c r="AF174825" s="34"/>
    </row>
    <row r="174833" spans="31:32" x14ac:dyDescent="0.25">
      <c r="AE174833" s="36"/>
      <c r="AF174833" s="36"/>
    </row>
    <row r="174929" spans="31:32" x14ac:dyDescent="0.25">
      <c r="AE174929" s="34"/>
      <c r="AF174929" s="34"/>
    </row>
    <row r="174937" spans="31:32" x14ac:dyDescent="0.25">
      <c r="AE174937" s="36"/>
      <c r="AF174937" s="36"/>
    </row>
    <row r="175033" spans="31:32" x14ac:dyDescent="0.25">
      <c r="AE175033" s="34"/>
      <c r="AF175033" s="34"/>
    </row>
    <row r="175041" spans="31:32" x14ac:dyDescent="0.25">
      <c r="AE175041" s="36"/>
      <c r="AF175041" s="36"/>
    </row>
    <row r="175137" spans="31:32" x14ac:dyDescent="0.25">
      <c r="AE175137" s="34"/>
      <c r="AF175137" s="34"/>
    </row>
    <row r="175145" spans="31:32" x14ac:dyDescent="0.25">
      <c r="AE175145" s="36"/>
      <c r="AF175145" s="36"/>
    </row>
    <row r="175241" spans="31:32" x14ac:dyDescent="0.25">
      <c r="AE175241" s="34"/>
      <c r="AF175241" s="34"/>
    </row>
    <row r="175249" spans="31:32" x14ac:dyDescent="0.25">
      <c r="AE175249" s="36"/>
      <c r="AF175249" s="36"/>
    </row>
    <row r="175345" spans="31:32" x14ac:dyDescent="0.25">
      <c r="AE175345" s="34"/>
      <c r="AF175345" s="34"/>
    </row>
    <row r="175353" spans="31:32" x14ac:dyDescent="0.25">
      <c r="AE175353" s="36"/>
      <c r="AF175353" s="36"/>
    </row>
    <row r="175449" spans="31:32" x14ac:dyDescent="0.25">
      <c r="AE175449" s="34"/>
      <c r="AF175449" s="34"/>
    </row>
    <row r="175457" spans="31:32" x14ac:dyDescent="0.25">
      <c r="AE175457" s="36"/>
      <c r="AF175457" s="36"/>
    </row>
    <row r="175553" spans="31:32" x14ac:dyDescent="0.25">
      <c r="AE175553" s="34"/>
      <c r="AF175553" s="34"/>
    </row>
    <row r="175561" spans="31:32" x14ac:dyDescent="0.25">
      <c r="AE175561" s="36"/>
      <c r="AF175561" s="36"/>
    </row>
    <row r="175657" spans="31:32" x14ac:dyDescent="0.25">
      <c r="AE175657" s="34"/>
      <c r="AF175657" s="34"/>
    </row>
    <row r="175665" spans="31:32" x14ac:dyDescent="0.25">
      <c r="AE175665" s="36"/>
      <c r="AF175665" s="36"/>
    </row>
    <row r="175761" spans="31:32" x14ac:dyDescent="0.25">
      <c r="AE175761" s="34"/>
      <c r="AF175761" s="34"/>
    </row>
    <row r="175769" spans="31:32" x14ac:dyDescent="0.25">
      <c r="AE175769" s="36"/>
      <c r="AF175769" s="36"/>
    </row>
    <row r="175865" spans="31:32" x14ac:dyDescent="0.25">
      <c r="AE175865" s="34"/>
      <c r="AF175865" s="34"/>
    </row>
    <row r="175873" spans="31:32" x14ac:dyDescent="0.25">
      <c r="AE175873" s="36"/>
      <c r="AF175873" s="36"/>
    </row>
    <row r="175969" spans="31:32" x14ac:dyDescent="0.25">
      <c r="AE175969" s="34"/>
      <c r="AF175969" s="34"/>
    </row>
    <row r="175977" spans="31:32" x14ac:dyDescent="0.25">
      <c r="AE175977" s="36"/>
      <c r="AF175977" s="36"/>
    </row>
    <row r="176073" spans="31:32" x14ac:dyDescent="0.25">
      <c r="AE176073" s="34"/>
      <c r="AF176073" s="34"/>
    </row>
    <row r="176081" spans="31:32" x14ac:dyDescent="0.25">
      <c r="AE176081" s="36"/>
      <c r="AF176081" s="36"/>
    </row>
    <row r="176177" spans="31:32" x14ac:dyDescent="0.25">
      <c r="AE176177" s="34"/>
      <c r="AF176177" s="34"/>
    </row>
    <row r="176185" spans="31:32" x14ac:dyDescent="0.25">
      <c r="AE176185" s="36"/>
      <c r="AF176185" s="36"/>
    </row>
    <row r="176281" spans="31:32" x14ac:dyDescent="0.25">
      <c r="AE176281" s="34"/>
      <c r="AF176281" s="34"/>
    </row>
    <row r="176289" spans="31:32" x14ac:dyDescent="0.25">
      <c r="AE176289" s="36"/>
      <c r="AF176289" s="36"/>
    </row>
    <row r="176385" spans="31:32" x14ac:dyDescent="0.25">
      <c r="AE176385" s="34"/>
      <c r="AF176385" s="34"/>
    </row>
    <row r="176393" spans="31:32" x14ac:dyDescent="0.25">
      <c r="AE176393" s="36"/>
      <c r="AF176393" s="36"/>
    </row>
    <row r="176489" spans="31:32" x14ac:dyDescent="0.25">
      <c r="AE176489" s="34"/>
      <c r="AF176489" s="34"/>
    </row>
    <row r="176497" spans="31:32" x14ac:dyDescent="0.25">
      <c r="AE176497" s="36"/>
      <c r="AF176497" s="36"/>
    </row>
    <row r="176593" spans="31:32" x14ac:dyDescent="0.25">
      <c r="AE176593" s="34"/>
      <c r="AF176593" s="34"/>
    </row>
    <row r="176601" spans="31:32" x14ac:dyDescent="0.25">
      <c r="AE176601" s="36"/>
      <c r="AF176601" s="36"/>
    </row>
    <row r="176697" spans="31:32" x14ac:dyDescent="0.25">
      <c r="AE176697" s="34"/>
      <c r="AF176697" s="34"/>
    </row>
    <row r="176705" spans="31:32" x14ac:dyDescent="0.25">
      <c r="AE176705" s="36"/>
      <c r="AF176705" s="36"/>
    </row>
    <row r="176801" spans="31:32" x14ac:dyDescent="0.25">
      <c r="AE176801" s="34"/>
      <c r="AF176801" s="34"/>
    </row>
    <row r="176809" spans="31:32" x14ac:dyDescent="0.25">
      <c r="AE176809" s="36"/>
      <c r="AF176809" s="36"/>
    </row>
    <row r="176905" spans="31:32" x14ac:dyDescent="0.25">
      <c r="AE176905" s="34"/>
      <c r="AF176905" s="34"/>
    </row>
    <row r="176913" spans="31:32" x14ac:dyDescent="0.25">
      <c r="AE176913" s="36"/>
      <c r="AF176913" s="36"/>
    </row>
    <row r="177009" spans="31:32" x14ac:dyDescent="0.25">
      <c r="AE177009" s="34"/>
      <c r="AF177009" s="34"/>
    </row>
    <row r="177017" spans="31:32" x14ac:dyDescent="0.25">
      <c r="AE177017" s="36"/>
      <c r="AF177017" s="36"/>
    </row>
    <row r="177113" spans="31:32" x14ac:dyDescent="0.25">
      <c r="AE177113" s="34"/>
      <c r="AF177113" s="34"/>
    </row>
    <row r="177121" spans="31:32" x14ac:dyDescent="0.25">
      <c r="AE177121" s="36"/>
      <c r="AF177121" s="36"/>
    </row>
    <row r="177217" spans="31:32" x14ac:dyDescent="0.25">
      <c r="AE177217" s="34"/>
      <c r="AF177217" s="34"/>
    </row>
    <row r="177225" spans="31:32" x14ac:dyDescent="0.25">
      <c r="AE177225" s="36"/>
      <c r="AF177225" s="36"/>
    </row>
    <row r="177321" spans="31:32" x14ac:dyDescent="0.25">
      <c r="AE177321" s="34"/>
      <c r="AF177321" s="34"/>
    </row>
    <row r="177329" spans="31:32" x14ac:dyDescent="0.25">
      <c r="AE177329" s="36"/>
      <c r="AF177329" s="36"/>
    </row>
    <row r="177425" spans="31:32" x14ac:dyDescent="0.25">
      <c r="AE177425" s="34"/>
      <c r="AF177425" s="34"/>
    </row>
    <row r="177433" spans="31:32" x14ac:dyDescent="0.25">
      <c r="AE177433" s="36"/>
      <c r="AF177433" s="36"/>
    </row>
    <row r="177529" spans="31:32" x14ac:dyDescent="0.25">
      <c r="AE177529" s="34"/>
      <c r="AF177529" s="34"/>
    </row>
    <row r="177537" spans="31:32" x14ac:dyDescent="0.25">
      <c r="AE177537" s="36"/>
      <c r="AF177537" s="36"/>
    </row>
    <row r="177633" spans="31:32" x14ac:dyDescent="0.25">
      <c r="AE177633" s="34"/>
      <c r="AF177633" s="34"/>
    </row>
    <row r="177641" spans="31:32" x14ac:dyDescent="0.25">
      <c r="AE177641" s="36"/>
      <c r="AF177641" s="36"/>
    </row>
    <row r="177737" spans="31:32" x14ac:dyDescent="0.25">
      <c r="AE177737" s="34"/>
      <c r="AF177737" s="34"/>
    </row>
    <row r="177745" spans="31:32" x14ac:dyDescent="0.25">
      <c r="AE177745" s="36"/>
      <c r="AF177745" s="36"/>
    </row>
    <row r="177841" spans="31:32" x14ac:dyDescent="0.25">
      <c r="AE177841" s="34"/>
      <c r="AF177841" s="34"/>
    </row>
    <row r="177849" spans="31:32" x14ac:dyDescent="0.25">
      <c r="AE177849" s="36"/>
      <c r="AF177849" s="36"/>
    </row>
    <row r="177945" spans="31:32" x14ac:dyDescent="0.25">
      <c r="AE177945" s="34"/>
      <c r="AF177945" s="34"/>
    </row>
    <row r="177953" spans="31:32" x14ac:dyDescent="0.25">
      <c r="AE177953" s="36"/>
      <c r="AF177953" s="36"/>
    </row>
    <row r="178049" spans="31:32" x14ac:dyDescent="0.25">
      <c r="AE178049" s="34"/>
      <c r="AF178049" s="34"/>
    </row>
    <row r="178057" spans="31:32" x14ac:dyDescent="0.25">
      <c r="AE178057" s="36"/>
      <c r="AF178057" s="36"/>
    </row>
    <row r="178153" spans="31:32" x14ac:dyDescent="0.25">
      <c r="AE178153" s="34"/>
      <c r="AF178153" s="34"/>
    </row>
    <row r="178161" spans="31:32" x14ac:dyDescent="0.25">
      <c r="AE178161" s="36"/>
      <c r="AF178161" s="36"/>
    </row>
    <row r="178257" spans="31:32" x14ac:dyDescent="0.25">
      <c r="AE178257" s="34"/>
      <c r="AF178257" s="34"/>
    </row>
    <row r="178265" spans="31:32" x14ac:dyDescent="0.25">
      <c r="AE178265" s="36"/>
      <c r="AF178265" s="36"/>
    </row>
    <row r="178361" spans="31:32" x14ac:dyDescent="0.25">
      <c r="AE178361" s="34"/>
      <c r="AF178361" s="34"/>
    </row>
    <row r="178369" spans="31:32" x14ac:dyDescent="0.25">
      <c r="AE178369" s="36"/>
      <c r="AF178369" s="36"/>
    </row>
    <row r="178465" spans="31:32" x14ac:dyDescent="0.25">
      <c r="AE178465" s="34"/>
      <c r="AF178465" s="34"/>
    </row>
    <row r="178473" spans="31:32" x14ac:dyDescent="0.25">
      <c r="AE178473" s="36"/>
      <c r="AF178473" s="36"/>
    </row>
    <row r="178569" spans="31:32" x14ac:dyDescent="0.25">
      <c r="AE178569" s="34"/>
      <c r="AF178569" s="34"/>
    </row>
    <row r="178577" spans="31:32" x14ac:dyDescent="0.25">
      <c r="AE178577" s="36"/>
      <c r="AF178577" s="36"/>
    </row>
    <row r="178673" spans="31:32" x14ac:dyDescent="0.25">
      <c r="AE178673" s="34"/>
      <c r="AF178673" s="34"/>
    </row>
    <row r="178681" spans="31:32" x14ac:dyDescent="0.25">
      <c r="AE178681" s="36"/>
      <c r="AF178681" s="36"/>
    </row>
    <row r="178777" spans="31:32" x14ac:dyDescent="0.25">
      <c r="AE178777" s="34"/>
      <c r="AF178777" s="34"/>
    </row>
    <row r="178785" spans="31:32" x14ac:dyDescent="0.25">
      <c r="AE178785" s="36"/>
      <c r="AF178785" s="36"/>
    </row>
    <row r="178881" spans="31:32" x14ac:dyDescent="0.25">
      <c r="AE178881" s="34"/>
      <c r="AF178881" s="34"/>
    </row>
    <row r="178889" spans="31:32" x14ac:dyDescent="0.25">
      <c r="AE178889" s="36"/>
      <c r="AF178889" s="36"/>
    </row>
    <row r="178985" spans="31:32" x14ac:dyDescent="0.25">
      <c r="AE178985" s="34"/>
      <c r="AF178985" s="34"/>
    </row>
    <row r="178993" spans="31:32" x14ac:dyDescent="0.25">
      <c r="AE178993" s="36"/>
      <c r="AF178993" s="36"/>
    </row>
    <row r="179089" spans="31:32" x14ac:dyDescent="0.25">
      <c r="AE179089" s="34"/>
      <c r="AF179089" s="34"/>
    </row>
    <row r="179097" spans="31:32" x14ac:dyDescent="0.25">
      <c r="AE179097" s="36"/>
      <c r="AF179097" s="36"/>
    </row>
    <row r="179193" spans="31:32" x14ac:dyDescent="0.25">
      <c r="AE179193" s="34"/>
      <c r="AF179193" s="34"/>
    </row>
    <row r="179201" spans="31:32" x14ac:dyDescent="0.25">
      <c r="AE179201" s="36"/>
      <c r="AF179201" s="36"/>
    </row>
    <row r="179297" spans="31:32" x14ac:dyDescent="0.25">
      <c r="AE179297" s="34"/>
      <c r="AF179297" s="34"/>
    </row>
    <row r="179305" spans="31:32" x14ac:dyDescent="0.25">
      <c r="AE179305" s="36"/>
      <c r="AF179305" s="36"/>
    </row>
    <row r="179401" spans="31:32" x14ac:dyDescent="0.25">
      <c r="AE179401" s="34"/>
      <c r="AF179401" s="34"/>
    </row>
    <row r="179409" spans="31:32" x14ac:dyDescent="0.25">
      <c r="AE179409" s="36"/>
      <c r="AF179409" s="36"/>
    </row>
    <row r="179505" spans="31:32" x14ac:dyDescent="0.25">
      <c r="AE179505" s="34"/>
      <c r="AF179505" s="34"/>
    </row>
    <row r="179513" spans="31:32" x14ac:dyDescent="0.25">
      <c r="AE179513" s="36"/>
      <c r="AF179513" s="36"/>
    </row>
    <row r="179609" spans="31:32" x14ac:dyDescent="0.25">
      <c r="AE179609" s="34"/>
      <c r="AF179609" s="34"/>
    </row>
    <row r="179617" spans="31:32" x14ac:dyDescent="0.25">
      <c r="AE179617" s="36"/>
      <c r="AF179617" s="36"/>
    </row>
    <row r="179713" spans="31:32" x14ac:dyDescent="0.25">
      <c r="AE179713" s="34"/>
      <c r="AF179713" s="34"/>
    </row>
    <row r="179721" spans="31:32" x14ac:dyDescent="0.25">
      <c r="AE179721" s="36"/>
      <c r="AF179721" s="36"/>
    </row>
    <row r="179817" spans="31:32" x14ac:dyDescent="0.25">
      <c r="AE179817" s="34"/>
      <c r="AF179817" s="34"/>
    </row>
    <row r="179825" spans="31:32" x14ac:dyDescent="0.25">
      <c r="AE179825" s="36"/>
      <c r="AF179825" s="36"/>
    </row>
    <row r="179921" spans="31:32" x14ac:dyDescent="0.25">
      <c r="AE179921" s="34"/>
      <c r="AF179921" s="34"/>
    </row>
    <row r="179929" spans="31:32" x14ac:dyDescent="0.25">
      <c r="AE179929" s="36"/>
      <c r="AF179929" s="36"/>
    </row>
    <row r="180025" spans="31:32" x14ac:dyDescent="0.25">
      <c r="AE180025" s="34"/>
      <c r="AF180025" s="34"/>
    </row>
    <row r="180033" spans="31:32" x14ac:dyDescent="0.25">
      <c r="AE180033" s="36"/>
      <c r="AF180033" s="36"/>
    </row>
    <row r="180129" spans="31:32" x14ac:dyDescent="0.25">
      <c r="AE180129" s="34"/>
      <c r="AF180129" s="34"/>
    </row>
    <row r="180137" spans="31:32" x14ac:dyDescent="0.25">
      <c r="AE180137" s="36"/>
      <c r="AF180137" s="36"/>
    </row>
    <row r="180233" spans="31:32" x14ac:dyDescent="0.25">
      <c r="AE180233" s="34"/>
      <c r="AF180233" s="34"/>
    </row>
    <row r="180241" spans="31:32" x14ac:dyDescent="0.25">
      <c r="AE180241" s="36"/>
      <c r="AF180241" s="36"/>
    </row>
    <row r="180337" spans="31:32" x14ac:dyDescent="0.25">
      <c r="AE180337" s="34"/>
      <c r="AF180337" s="34"/>
    </row>
    <row r="180345" spans="31:32" x14ac:dyDescent="0.25">
      <c r="AE180345" s="36"/>
      <c r="AF180345" s="36"/>
    </row>
    <row r="180441" spans="31:32" x14ac:dyDescent="0.25">
      <c r="AE180441" s="34"/>
      <c r="AF180441" s="34"/>
    </row>
    <row r="180449" spans="31:32" x14ac:dyDescent="0.25">
      <c r="AE180449" s="36"/>
      <c r="AF180449" s="36"/>
    </row>
    <row r="180545" spans="31:32" x14ac:dyDescent="0.25">
      <c r="AE180545" s="34"/>
      <c r="AF180545" s="34"/>
    </row>
    <row r="180553" spans="31:32" x14ac:dyDescent="0.25">
      <c r="AE180553" s="36"/>
      <c r="AF180553" s="36"/>
    </row>
    <row r="180649" spans="31:32" x14ac:dyDescent="0.25">
      <c r="AE180649" s="34"/>
      <c r="AF180649" s="34"/>
    </row>
    <row r="180657" spans="31:32" x14ac:dyDescent="0.25">
      <c r="AE180657" s="36"/>
      <c r="AF180657" s="36"/>
    </row>
    <row r="180753" spans="31:32" x14ac:dyDescent="0.25">
      <c r="AE180753" s="34"/>
      <c r="AF180753" s="34"/>
    </row>
    <row r="180761" spans="31:32" x14ac:dyDescent="0.25">
      <c r="AE180761" s="36"/>
      <c r="AF180761" s="36"/>
    </row>
    <row r="180857" spans="31:32" x14ac:dyDescent="0.25">
      <c r="AE180857" s="34"/>
      <c r="AF180857" s="34"/>
    </row>
    <row r="180865" spans="31:32" x14ac:dyDescent="0.25">
      <c r="AE180865" s="36"/>
      <c r="AF180865" s="36"/>
    </row>
    <row r="180961" spans="31:32" x14ac:dyDescent="0.25">
      <c r="AE180961" s="34"/>
      <c r="AF180961" s="34"/>
    </row>
    <row r="180969" spans="31:32" x14ac:dyDescent="0.25">
      <c r="AE180969" s="36"/>
      <c r="AF180969" s="36"/>
    </row>
    <row r="181065" spans="31:32" x14ac:dyDescent="0.25">
      <c r="AE181065" s="34"/>
      <c r="AF181065" s="34"/>
    </row>
    <row r="181073" spans="31:32" x14ac:dyDescent="0.25">
      <c r="AE181073" s="36"/>
      <c r="AF181073" s="36"/>
    </row>
    <row r="181169" spans="31:32" x14ac:dyDescent="0.25">
      <c r="AE181169" s="34"/>
      <c r="AF181169" s="34"/>
    </row>
    <row r="181177" spans="31:32" x14ac:dyDescent="0.25">
      <c r="AE181177" s="36"/>
      <c r="AF181177" s="36"/>
    </row>
    <row r="181273" spans="31:32" x14ac:dyDescent="0.25">
      <c r="AE181273" s="34"/>
      <c r="AF181273" s="34"/>
    </row>
    <row r="181281" spans="31:32" x14ac:dyDescent="0.25">
      <c r="AE181281" s="36"/>
      <c r="AF181281" s="36"/>
    </row>
    <row r="181377" spans="31:32" x14ac:dyDescent="0.25">
      <c r="AE181377" s="34"/>
      <c r="AF181377" s="34"/>
    </row>
    <row r="181385" spans="31:32" x14ac:dyDescent="0.25">
      <c r="AE181385" s="36"/>
      <c r="AF181385" s="36"/>
    </row>
    <row r="181481" spans="31:32" x14ac:dyDescent="0.25">
      <c r="AE181481" s="34"/>
      <c r="AF181481" s="34"/>
    </row>
    <row r="181489" spans="31:32" x14ac:dyDescent="0.25">
      <c r="AE181489" s="36"/>
      <c r="AF181489" s="36"/>
    </row>
    <row r="181585" spans="31:32" x14ac:dyDescent="0.25">
      <c r="AE181585" s="34"/>
      <c r="AF181585" s="34"/>
    </row>
    <row r="181593" spans="31:32" x14ac:dyDescent="0.25">
      <c r="AE181593" s="36"/>
      <c r="AF181593" s="36"/>
    </row>
    <row r="181689" spans="31:32" x14ac:dyDescent="0.25">
      <c r="AE181689" s="34"/>
      <c r="AF181689" s="34"/>
    </row>
    <row r="181697" spans="31:32" x14ac:dyDescent="0.25">
      <c r="AE181697" s="36"/>
      <c r="AF181697" s="36"/>
    </row>
    <row r="181793" spans="31:32" x14ac:dyDescent="0.25">
      <c r="AE181793" s="34"/>
      <c r="AF181793" s="34"/>
    </row>
    <row r="181801" spans="31:32" x14ac:dyDescent="0.25">
      <c r="AE181801" s="36"/>
      <c r="AF181801" s="36"/>
    </row>
    <row r="181897" spans="31:32" x14ac:dyDescent="0.25">
      <c r="AE181897" s="34"/>
      <c r="AF181897" s="34"/>
    </row>
    <row r="181905" spans="31:32" x14ac:dyDescent="0.25">
      <c r="AE181905" s="36"/>
      <c r="AF181905" s="36"/>
    </row>
    <row r="182001" spans="31:32" x14ac:dyDescent="0.25">
      <c r="AE182001" s="34"/>
      <c r="AF182001" s="34"/>
    </row>
    <row r="182009" spans="31:32" x14ac:dyDescent="0.25">
      <c r="AE182009" s="36"/>
      <c r="AF182009" s="36"/>
    </row>
    <row r="182105" spans="31:32" x14ac:dyDescent="0.25">
      <c r="AE182105" s="34"/>
      <c r="AF182105" s="34"/>
    </row>
    <row r="182113" spans="31:32" x14ac:dyDescent="0.25">
      <c r="AE182113" s="36"/>
      <c r="AF182113" s="36"/>
    </row>
    <row r="182209" spans="31:32" x14ac:dyDescent="0.25">
      <c r="AE182209" s="34"/>
      <c r="AF182209" s="34"/>
    </row>
    <row r="182217" spans="31:32" x14ac:dyDescent="0.25">
      <c r="AE182217" s="36"/>
      <c r="AF182217" s="36"/>
    </row>
    <row r="182313" spans="31:32" x14ac:dyDescent="0.25">
      <c r="AE182313" s="34"/>
      <c r="AF182313" s="34"/>
    </row>
    <row r="182321" spans="31:32" x14ac:dyDescent="0.25">
      <c r="AE182321" s="36"/>
      <c r="AF182321" s="36"/>
    </row>
    <row r="182417" spans="31:32" x14ac:dyDescent="0.25">
      <c r="AE182417" s="34"/>
      <c r="AF182417" s="34"/>
    </row>
    <row r="182425" spans="31:32" x14ac:dyDescent="0.25">
      <c r="AE182425" s="36"/>
      <c r="AF182425" s="36"/>
    </row>
    <row r="182521" spans="31:32" x14ac:dyDescent="0.25">
      <c r="AE182521" s="34"/>
      <c r="AF182521" s="34"/>
    </row>
    <row r="182529" spans="31:32" x14ac:dyDescent="0.25">
      <c r="AE182529" s="36"/>
      <c r="AF182529" s="36"/>
    </row>
    <row r="182625" spans="31:32" x14ac:dyDescent="0.25">
      <c r="AE182625" s="34"/>
      <c r="AF182625" s="34"/>
    </row>
    <row r="182633" spans="31:32" x14ac:dyDescent="0.25">
      <c r="AE182633" s="36"/>
      <c r="AF182633" s="36"/>
    </row>
    <row r="182729" spans="31:32" x14ac:dyDescent="0.25">
      <c r="AE182729" s="34"/>
      <c r="AF182729" s="34"/>
    </row>
    <row r="182737" spans="31:32" x14ac:dyDescent="0.25">
      <c r="AE182737" s="36"/>
      <c r="AF182737" s="36"/>
    </row>
    <row r="182833" spans="31:32" x14ac:dyDescent="0.25">
      <c r="AE182833" s="34"/>
      <c r="AF182833" s="34"/>
    </row>
    <row r="182841" spans="31:32" x14ac:dyDescent="0.25">
      <c r="AE182841" s="36"/>
      <c r="AF182841" s="36"/>
    </row>
    <row r="182937" spans="31:32" x14ac:dyDescent="0.25">
      <c r="AE182937" s="34"/>
      <c r="AF182937" s="34"/>
    </row>
    <row r="182945" spans="31:32" x14ac:dyDescent="0.25">
      <c r="AE182945" s="36"/>
      <c r="AF182945" s="36"/>
    </row>
    <row r="183041" spans="31:32" x14ac:dyDescent="0.25">
      <c r="AE183041" s="34"/>
      <c r="AF183041" s="34"/>
    </row>
    <row r="183049" spans="31:32" x14ac:dyDescent="0.25">
      <c r="AE183049" s="36"/>
      <c r="AF183049" s="36"/>
    </row>
    <row r="183145" spans="31:32" x14ac:dyDescent="0.25">
      <c r="AE183145" s="34"/>
      <c r="AF183145" s="34"/>
    </row>
    <row r="183153" spans="31:32" x14ac:dyDescent="0.25">
      <c r="AE183153" s="36"/>
      <c r="AF183153" s="36"/>
    </row>
    <row r="183249" spans="31:32" x14ac:dyDescent="0.25">
      <c r="AE183249" s="34"/>
      <c r="AF183249" s="34"/>
    </row>
    <row r="183257" spans="31:32" x14ac:dyDescent="0.25">
      <c r="AE183257" s="36"/>
      <c r="AF183257" s="36"/>
    </row>
    <row r="183353" spans="31:32" x14ac:dyDescent="0.25">
      <c r="AE183353" s="34"/>
      <c r="AF183353" s="34"/>
    </row>
    <row r="183361" spans="31:32" x14ac:dyDescent="0.25">
      <c r="AE183361" s="36"/>
      <c r="AF183361" s="36"/>
    </row>
    <row r="183457" spans="31:32" x14ac:dyDescent="0.25">
      <c r="AE183457" s="34"/>
      <c r="AF183457" s="34"/>
    </row>
    <row r="183465" spans="31:32" x14ac:dyDescent="0.25">
      <c r="AE183465" s="36"/>
      <c r="AF183465" s="36"/>
    </row>
    <row r="183561" spans="31:32" x14ac:dyDescent="0.25">
      <c r="AE183561" s="34"/>
      <c r="AF183561" s="34"/>
    </row>
    <row r="183569" spans="31:32" x14ac:dyDescent="0.25">
      <c r="AE183569" s="36"/>
      <c r="AF183569" s="36"/>
    </row>
    <row r="183665" spans="31:32" x14ac:dyDescent="0.25">
      <c r="AE183665" s="34"/>
      <c r="AF183665" s="34"/>
    </row>
    <row r="183673" spans="31:32" x14ac:dyDescent="0.25">
      <c r="AE183673" s="36"/>
      <c r="AF183673" s="36"/>
    </row>
    <row r="183769" spans="31:32" x14ac:dyDescent="0.25">
      <c r="AE183769" s="34"/>
      <c r="AF183769" s="34"/>
    </row>
    <row r="183777" spans="31:32" x14ac:dyDescent="0.25">
      <c r="AE183777" s="36"/>
      <c r="AF183777" s="36"/>
    </row>
    <row r="183873" spans="31:32" x14ac:dyDescent="0.25">
      <c r="AE183873" s="34"/>
      <c r="AF183873" s="34"/>
    </row>
    <row r="183881" spans="31:32" x14ac:dyDescent="0.25">
      <c r="AE183881" s="36"/>
      <c r="AF183881" s="36"/>
    </row>
    <row r="183977" spans="31:32" x14ac:dyDescent="0.25">
      <c r="AE183977" s="34"/>
      <c r="AF183977" s="34"/>
    </row>
    <row r="183985" spans="31:32" x14ac:dyDescent="0.25">
      <c r="AE183985" s="36"/>
      <c r="AF183985" s="36"/>
    </row>
    <row r="184081" spans="31:32" x14ac:dyDescent="0.25">
      <c r="AE184081" s="34"/>
      <c r="AF184081" s="34"/>
    </row>
    <row r="184089" spans="31:32" x14ac:dyDescent="0.25">
      <c r="AE184089" s="36"/>
      <c r="AF184089" s="36"/>
    </row>
    <row r="184185" spans="31:32" x14ac:dyDescent="0.25">
      <c r="AE184185" s="34"/>
      <c r="AF184185" s="34"/>
    </row>
    <row r="184193" spans="31:32" x14ac:dyDescent="0.25">
      <c r="AE184193" s="36"/>
      <c r="AF184193" s="36"/>
    </row>
    <row r="184289" spans="31:32" x14ac:dyDescent="0.25">
      <c r="AE184289" s="34"/>
      <c r="AF184289" s="34"/>
    </row>
    <row r="184297" spans="31:32" x14ac:dyDescent="0.25">
      <c r="AE184297" s="36"/>
      <c r="AF184297" s="36"/>
    </row>
    <row r="184393" spans="31:32" x14ac:dyDescent="0.25">
      <c r="AE184393" s="34"/>
      <c r="AF184393" s="34"/>
    </row>
    <row r="184401" spans="31:32" x14ac:dyDescent="0.25">
      <c r="AE184401" s="36"/>
      <c r="AF184401" s="36"/>
    </row>
    <row r="184497" spans="31:32" x14ac:dyDescent="0.25">
      <c r="AE184497" s="34"/>
      <c r="AF184497" s="34"/>
    </row>
    <row r="184505" spans="31:32" x14ac:dyDescent="0.25">
      <c r="AE184505" s="36"/>
      <c r="AF184505" s="36"/>
    </row>
    <row r="184601" spans="31:32" x14ac:dyDescent="0.25">
      <c r="AE184601" s="34"/>
      <c r="AF184601" s="34"/>
    </row>
    <row r="184609" spans="31:32" x14ac:dyDescent="0.25">
      <c r="AE184609" s="36"/>
      <c r="AF184609" s="36"/>
    </row>
    <row r="184705" spans="31:32" x14ac:dyDescent="0.25">
      <c r="AE184705" s="34"/>
      <c r="AF184705" s="34"/>
    </row>
    <row r="184713" spans="31:32" x14ac:dyDescent="0.25">
      <c r="AE184713" s="36"/>
      <c r="AF184713" s="36"/>
    </row>
    <row r="184809" spans="31:32" x14ac:dyDescent="0.25">
      <c r="AE184809" s="34"/>
      <c r="AF184809" s="34"/>
    </row>
    <row r="184817" spans="31:32" x14ac:dyDescent="0.25">
      <c r="AE184817" s="36"/>
      <c r="AF184817" s="36"/>
    </row>
    <row r="184913" spans="31:32" x14ac:dyDescent="0.25">
      <c r="AE184913" s="34"/>
      <c r="AF184913" s="34"/>
    </row>
    <row r="184921" spans="31:32" x14ac:dyDescent="0.25">
      <c r="AE184921" s="36"/>
      <c r="AF184921" s="36"/>
    </row>
    <row r="185017" spans="31:32" x14ac:dyDescent="0.25">
      <c r="AE185017" s="34"/>
      <c r="AF185017" s="34"/>
    </row>
    <row r="185025" spans="31:32" x14ac:dyDescent="0.25">
      <c r="AE185025" s="36"/>
      <c r="AF185025" s="36"/>
    </row>
    <row r="185121" spans="31:32" x14ac:dyDescent="0.25">
      <c r="AE185121" s="34"/>
      <c r="AF185121" s="34"/>
    </row>
    <row r="185129" spans="31:32" x14ac:dyDescent="0.25">
      <c r="AE185129" s="36"/>
      <c r="AF185129" s="36"/>
    </row>
    <row r="185225" spans="31:32" x14ac:dyDescent="0.25">
      <c r="AE185225" s="34"/>
      <c r="AF185225" s="34"/>
    </row>
    <row r="185233" spans="31:32" x14ac:dyDescent="0.25">
      <c r="AE185233" s="36"/>
      <c r="AF185233" s="36"/>
    </row>
    <row r="185329" spans="31:32" x14ac:dyDescent="0.25">
      <c r="AE185329" s="34"/>
      <c r="AF185329" s="34"/>
    </row>
    <row r="185337" spans="31:32" x14ac:dyDescent="0.25">
      <c r="AE185337" s="36"/>
      <c r="AF185337" s="36"/>
    </row>
    <row r="185433" spans="31:32" x14ac:dyDescent="0.25">
      <c r="AE185433" s="34"/>
      <c r="AF185433" s="34"/>
    </row>
    <row r="185441" spans="31:32" x14ac:dyDescent="0.25">
      <c r="AE185441" s="36"/>
      <c r="AF185441" s="36"/>
    </row>
    <row r="185537" spans="31:32" x14ac:dyDescent="0.25">
      <c r="AE185537" s="34"/>
      <c r="AF185537" s="34"/>
    </row>
    <row r="185545" spans="31:32" x14ac:dyDescent="0.25">
      <c r="AE185545" s="36"/>
      <c r="AF185545" s="36"/>
    </row>
    <row r="185641" spans="31:32" x14ac:dyDescent="0.25">
      <c r="AE185641" s="34"/>
      <c r="AF185641" s="34"/>
    </row>
    <row r="185649" spans="31:32" x14ac:dyDescent="0.25">
      <c r="AE185649" s="36"/>
      <c r="AF185649" s="36"/>
    </row>
    <row r="185745" spans="31:32" x14ac:dyDescent="0.25">
      <c r="AE185745" s="34"/>
      <c r="AF185745" s="34"/>
    </row>
    <row r="185753" spans="31:32" x14ac:dyDescent="0.25">
      <c r="AE185753" s="36"/>
      <c r="AF185753" s="36"/>
    </row>
    <row r="185849" spans="31:32" x14ac:dyDescent="0.25">
      <c r="AE185849" s="34"/>
      <c r="AF185849" s="34"/>
    </row>
    <row r="185857" spans="31:32" x14ac:dyDescent="0.25">
      <c r="AE185857" s="36"/>
      <c r="AF185857" s="36"/>
    </row>
    <row r="185953" spans="31:32" x14ac:dyDescent="0.25">
      <c r="AE185953" s="34"/>
      <c r="AF185953" s="34"/>
    </row>
    <row r="185961" spans="31:32" x14ac:dyDescent="0.25">
      <c r="AE185961" s="36"/>
      <c r="AF185961" s="36"/>
    </row>
    <row r="186057" spans="31:32" x14ac:dyDescent="0.25">
      <c r="AE186057" s="34"/>
      <c r="AF186057" s="34"/>
    </row>
    <row r="186065" spans="31:32" x14ac:dyDescent="0.25">
      <c r="AE186065" s="36"/>
      <c r="AF186065" s="36"/>
    </row>
    <row r="186161" spans="31:32" x14ac:dyDescent="0.25">
      <c r="AE186161" s="34"/>
      <c r="AF186161" s="34"/>
    </row>
    <row r="186169" spans="31:32" x14ac:dyDescent="0.25">
      <c r="AE186169" s="36"/>
      <c r="AF186169" s="36"/>
    </row>
    <row r="186265" spans="31:32" x14ac:dyDescent="0.25">
      <c r="AE186265" s="34"/>
      <c r="AF186265" s="34"/>
    </row>
    <row r="186273" spans="31:32" x14ac:dyDescent="0.25">
      <c r="AE186273" s="36"/>
      <c r="AF186273" s="36"/>
    </row>
    <row r="186369" spans="31:32" x14ac:dyDescent="0.25">
      <c r="AE186369" s="34"/>
      <c r="AF186369" s="34"/>
    </row>
    <row r="186377" spans="31:32" x14ac:dyDescent="0.25">
      <c r="AE186377" s="36"/>
      <c r="AF186377" s="36"/>
    </row>
    <row r="186473" spans="31:32" x14ac:dyDescent="0.25">
      <c r="AE186473" s="34"/>
      <c r="AF186473" s="34"/>
    </row>
    <row r="186481" spans="31:32" x14ac:dyDescent="0.25">
      <c r="AE186481" s="36"/>
      <c r="AF186481" s="36"/>
    </row>
    <row r="186577" spans="31:32" x14ac:dyDescent="0.25">
      <c r="AE186577" s="34"/>
      <c r="AF186577" s="34"/>
    </row>
    <row r="186585" spans="31:32" x14ac:dyDescent="0.25">
      <c r="AE186585" s="36"/>
      <c r="AF186585" s="36"/>
    </row>
    <row r="186681" spans="31:32" x14ac:dyDescent="0.25">
      <c r="AE186681" s="34"/>
      <c r="AF186681" s="34"/>
    </row>
    <row r="186689" spans="31:32" x14ac:dyDescent="0.25">
      <c r="AE186689" s="36"/>
      <c r="AF186689" s="36"/>
    </row>
    <row r="186785" spans="31:32" x14ac:dyDescent="0.25">
      <c r="AE186785" s="34"/>
      <c r="AF186785" s="34"/>
    </row>
    <row r="186793" spans="31:32" x14ac:dyDescent="0.25">
      <c r="AE186793" s="36"/>
      <c r="AF186793" s="36"/>
    </row>
    <row r="186889" spans="31:32" x14ac:dyDescent="0.25">
      <c r="AE186889" s="34"/>
      <c r="AF186889" s="34"/>
    </row>
    <row r="186897" spans="31:32" x14ac:dyDescent="0.25">
      <c r="AE186897" s="36"/>
      <c r="AF186897" s="36"/>
    </row>
    <row r="186993" spans="31:32" x14ac:dyDescent="0.25">
      <c r="AE186993" s="34"/>
      <c r="AF186993" s="34"/>
    </row>
    <row r="187001" spans="31:32" x14ac:dyDescent="0.25">
      <c r="AE187001" s="36"/>
      <c r="AF187001" s="36"/>
    </row>
    <row r="187097" spans="31:32" x14ac:dyDescent="0.25">
      <c r="AE187097" s="34"/>
      <c r="AF187097" s="34"/>
    </row>
    <row r="187105" spans="31:32" x14ac:dyDescent="0.25">
      <c r="AE187105" s="36"/>
      <c r="AF187105" s="36"/>
    </row>
    <row r="187201" spans="31:32" x14ac:dyDescent="0.25">
      <c r="AE187201" s="34"/>
      <c r="AF187201" s="34"/>
    </row>
    <row r="187209" spans="31:32" x14ac:dyDescent="0.25">
      <c r="AE187209" s="36"/>
      <c r="AF187209" s="36"/>
    </row>
    <row r="187305" spans="31:32" x14ac:dyDescent="0.25">
      <c r="AE187305" s="34"/>
      <c r="AF187305" s="34"/>
    </row>
    <row r="187313" spans="31:32" x14ac:dyDescent="0.25">
      <c r="AE187313" s="36"/>
      <c r="AF187313" s="36"/>
    </row>
    <row r="187409" spans="31:32" x14ac:dyDescent="0.25">
      <c r="AE187409" s="34"/>
      <c r="AF187409" s="34"/>
    </row>
    <row r="187417" spans="31:32" x14ac:dyDescent="0.25">
      <c r="AE187417" s="36"/>
      <c r="AF187417" s="36"/>
    </row>
    <row r="187513" spans="31:32" x14ac:dyDescent="0.25">
      <c r="AE187513" s="34"/>
      <c r="AF187513" s="34"/>
    </row>
    <row r="187521" spans="31:32" x14ac:dyDescent="0.25">
      <c r="AE187521" s="36"/>
      <c r="AF187521" s="36"/>
    </row>
    <row r="187617" spans="31:32" x14ac:dyDescent="0.25">
      <c r="AE187617" s="34"/>
      <c r="AF187617" s="34"/>
    </row>
    <row r="187625" spans="31:32" x14ac:dyDescent="0.25">
      <c r="AE187625" s="36"/>
      <c r="AF187625" s="36"/>
    </row>
    <row r="187721" spans="31:32" x14ac:dyDescent="0.25">
      <c r="AE187721" s="34"/>
      <c r="AF187721" s="34"/>
    </row>
    <row r="187729" spans="31:32" x14ac:dyDescent="0.25">
      <c r="AE187729" s="36"/>
      <c r="AF187729" s="36"/>
    </row>
    <row r="187825" spans="31:32" x14ac:dyDescent="0.25">
      <c r="AE187825" s="34"/>
      <c r="AF187825" s="34"/>
    </row>
    <row r="187833" spans="31:32" x14ac:dyDescent="0.25">
      <c r="AE187833" s="36"/>
      <c r="AF187833" s="36"/>
    </row>
    <row r="187929" spans="31:32" x14ac:dyDescent="0.25">
      <c r="AE187929" s="34"/>
      <c r="AF187929" s="34"/>
    </row>
    <row r="187937" spans="31:32" x14ac:dyDescent="0.25">
      <c r="AE187937" s="36"/>
      <c r="AF187937" s="36"/>
    </row>
    <row r="188033" spans="31:32" x14ac:dyDescent="0.25">
      <c r="AE188033" s="34"/>
      <c r="AF188033" s="34"/>
    </row>
    <row r="188041" spans="31:32" x14ac:dyDescent="0.25">
      <c r="AE188041" s="36"/>
      <c r="AF188041" s="36"/>
    </row>
    <row r="188137" spans="31:32" x14ac:dyDescent="0.25">
      <c r="AE188137" s="34"/>
      <c r="AF188137" s="34"/>
    </row>
    <row r="188145" spans="31:32" x14ac:dyDescent="0.25">
      <c r="AE188145" s="36"/>
      <c r="AF188145" s="36"/>
    </row>
    <row r="188241" spans="31:32" x14ac:dyDescent="0.25">
      <c r="AE188241" s="34"/>
      <c r="AF188241" s="34"/>
    </row>
    <row r="188249" spans="31:32" x14ac:dyDescent="0.25">
      <c r="AE188249" s="36"/>
      <c r="AF188249" s="36"/>
    </row>
    <row r="188345" spans="31:32" x14ac:dyDescent="0.25">
      <c r="AE188345" s="34"/>
      <c r="AF188345" s="34"/>
    </row>
    <row r="188353" spans="31:32" x14ac:dyDescent="0.25">
      <c r="AE188353" s="36"/>
      <c r="AF188353" s="36"/>
    </row>
    <row r="188449" spans="31:32" x14ac:dyDescent="0.25">
      <c r="AE188449" s="34"/>
      <c r="AF188449" s="34"/>
    </row>
    <row r="188457" spans="31:32" x14ac:dyDescent="0.25">
      <c r="AE188457" s="36"/>
      <c r="AF188457" s="36"/>
    </row>
    <row r="188553" spans="31:32" x14ac:dyDescent="0.25">
      <c r="AE188553" s="34"/>
      <c r="AF188553" s="34"/>
    </row>
    <row r="188561" spans="31:32" x14ac:dyDescent="0.25">
      <c r="AE188561" s="36"/>
      <c r="AF188561" s="36"/>
    </row>
    <row r="188657" spans="31:32" x14ac:dyDescent="0.25">
      <c r="AE188657" s="34"/>
      <c r="AF188657" s="34"/>
    </row>
    <row r="188665" spans="31:32" x14ac:dyDescent="0.25">
      <c r="AE188665" s="36"/>
      <c r="AF188665" s="36"/>
    </row>
    <row r="188761" spans="31:32" x14ac:dyDescent="0.25">
      <c r="AE188761" s="34"/>
      <c r="AF188761" s="34"/>
    </row>
    <row r="188769" spans="31:32" x14ac:dyDescent="0.25">
      <c r="AE188769" s="36"/>
      <c r="AF188769" s="36"/>
    </row>
    <row r="188865" spans="31:32" x14ac:dyDescent="0.25">
      <c r="AE188865" s="34"/>
      <c r="AF188865" s="34"/>
    </row>
    <row r="188873" spans="31:32" x14ac:dyDescent="0.25">
      <c r="AE188873" s="36"/>
      <c r="AF188873" s="36"/>
    </row>
    <row r="188969" spans="31:32" x14ac:dyDescent="0.25">
      <c r="AE188969" s="34"/>
      <c r="AF188969" s="34"/>
    </row>
    <row r="188977" spans="31:32" x14ac:dyDescent="0.25">
      <c r="AE188977" s="36"/>
      <c r="AF188977" s="36"/>
    </row>
    <row r="189073" spans="31:32" x14ac:dyDescent="0.25">
      <c r="AE189073" s="34"/>
      <c r="AF189073" s="34"/>
    </row>
    <row r="189081" spans="31:32" x14ac:dyDescent="0.25">
      <c r="AE189081" s="36"/>
      <c r="AF189081" s="36"/>
    </row>
    <row r="189177" spans="31:32" x14ac:dyDescent="0.25">
      <c r="AE189177" s="34"/>
      <c r="AF189177" s="34"/>
    </row>
    <row r="189185" spans="31:32" x14ac:dyDescent="0.25">
      <c r="AE189185" s="36"/>
      <c r="AF189185" s="36"/>
    </row>
    <row r="189281" spans="31:32" x14ac:dyDescent="0.25">
      <c r="AE189281" s="34"/>
      <c r="AF189281" s="34"/>
    </row>
    <row r="189289" spans="31:32" x14ac:dyDescent="0.25">
      <c r="AE189289" s="36"/>
      <c r="AF189289" s="36"/>
    </row>
    <row r="189385" spans="31:32" x14ac:dyDescent="0.25">
      <c r="AE189385" s="34"/>
      <c r="AF189385" s="34"/>
    </row>
    <row r="189393" spans="31:32" x14ac:dyDescent="0.25">
      <c r="AE189393" s="36"/>
      <c r="AF189393" s="36"/>
    </row>
    <row r="189489" spans="31:32" x14ac:dyDescent="0.25">
      <c r="AE189489" s="34"/>
      <c r="AF189489" s="34"/>
    </row>
    <row r="189497" spans="31:32" x14ac:dyDescent="0.25">
      <c r="AE189497" s="36"/>
      <c r="AF189497" s="36"/>
    </row>
    <row r="189593" spans="31:32" x14ac:dyDescent="0.25">
      <c r="AE189593" s="34"/>
      <c r="AF189593" s="34"/>
    </row>
    <row r="189601" spans="31:32" x14ac:dyDescent="0.25">
      <c r="AE189601" s="36"/>
      <c r="AF189601" s="36"/>
    </row>
    <row r="189697" spans="31:32" x14ac:dyDescent="0.25">
      <c r="AE189697" s="34"/>
      <c r="AF189697" s="34"/>
    </row>
    <row r="189705" spans="31:32" x14ac:dyDescent="0.25">
      <c r="AE189705" s="36"/>
      <c r="AF189705" s="36"/>
    </row>
    <row r="189801" spans="31:32" x14ac:dyDescent="0.25">
      <c r="AE189801" s="34"/>
      <c r="AF189801" s="34"/>
    </row>
    <row r="189809" spans="31:32" x14ac:dyDescent="0.25">
      <c r="AE189809" s="36"/>
      <c r="AF189809" s="36"/>
    </row>
    <row r="189905" spans="31:32" x14ac:dyDescent="0.25">
      <c r="AE189905" s="34"/>
      <c r="AF189905" s="34"/>
    </row>
    <row r="189913" spans="31:32" x14ac:dyDescent="0.25">
      <c r="AE189913" s="36"/>
      <c r="AF189913" s="36"/>
    </row>
    <row r="190009" spans="31:32" x14ac:dyDescent="0.25">
      <c r="AE190009" s="34"/>
      <c r="AF190009" s="34"/>
    </row>
    <row r="190017" spans="31:32" x14ac:dyDescent="0.25">
      <c r="AE190017" s="36"/>
      <c r="AF190017" s="36"/>
    </row>
    <row r="190113" spans="31:32" x14ac:dyDescent="0.25">
      <c r="AE190113" s="34"/>
      <c r="AF190113" s="34"/>
    </row>
    <row r="190121" spans="31:32" x14ac:dyDescent="0.25">
      <c r="AE190121" s="36"/>
      <c r="AF190121" s="36"/>
    </row>
    <row r="190217" spans="31:32" x14ac:dyDescent="0.25">
      <c r="AE190217" s="34"/>
      <c r="AF190217" s="34"/>
    </row>
    <row r="190225" spans="31:32" x14ac:dyDescent="0.25">
      <c r="AE190225" s="36"/>
      <c r="AF190225" s="36"/>
    </row>
    <row r="190321" spans="31:32" x14ac:dyDescent="0.25">
      <c r="AE190321" s="34"/>
      <c r="AF190321" s="34"/>
    </row>
    <row r="190329" spans="31:32" x14ac:dyDescent="0.25">
      <c r="AE190329" s="36"/>
      <c r="AF190329" s="36"/>
    </row>
    <row r="190425" spans="31:32" x14ac:dyDescent="0.25">
      <c r="AE190425" s="34"/>
      <c r="AF190425" s="34"/>
    </row>
    <row r="190433" spans="31:32" x14ac:dyDescent="0.25">
      <c r="AE190433" s="36"/>
      <c r="AF190433" s="36"/>
    </row>
    <row r="190529" spans="31:32" x14ac:dyDescent="0.25">
      <c r="AE190529" s="34"/>
      <c r="AF190529" s="34"/>
    </row>
    <row r="190537" spans="31:32" x14ac:dyDescent="0.25">
      <c r="AE190537" s="36"/>
      <c r="AF190537" s="36"/>
    </row>
    <row r="190633" spans="31:32" x14ac:dyDescent="0.25">
      <c r="AE190633" s="34"/>
      <c r="AF190633" s="34"/>
    </row>
    <row r="190641" spans="31:32" x14ac:dyDescent="0.25">
      <c r="AE190641" s="36"/>
      <c r="AF190641" s="36"/>
    </row>
    <row r="190737" spans="31:32" x14ac:dyDescent="0.25">
      <c r="AE190737" s="34"/>
      <c r="AF190737" s="34"/>
    </row>
    <row r="190745" spans="31:32" x14ac:dyDescent="0.25">
      <c r="AE190745" s="36"/>
      <c r="AF190745" s="36"/>
    </row>
    <row r="190841" spans="31:32" x14ac:dyDescent="0.25">
      <c r="AE190841" s="34"/>
      <c r="AF190841" s="34"/>
    </row>
    <row r="190849" spans="31:32" x14ac:dyDescent="0.25">
      <c r="AE190849" s="36"/>
      <c r="AF190849" s="36"/>
    </row>
    <row r="190945" spans="31:32" x14ac:dyDescent="0.25">
      <c r="AE190945" s="34"/>
      <c r="AF190945" s="34"/>
    </row>
    <row r="190953" spans="31:32" x14ac:dyDescent="0.25">
      <c r="AE190953" s="36"/>
      <c r="AF190953" s="36"/>
    </row>
    <row r="191049" spans="31:32" x14ac:dyDescent="0.25">
      <c r="AE191049" s="34"/>
      <c r="AF191049" s="34"/>
    </row>
    <row r="191057" spans="31:32" x14ac:dyDescent="0.25">
      <c r="AE191057" s="36"/>
      <c r="AF191057" s="36"/>
    </row>
    <row r="191153" spans="31:32" x14ac:dyDescent="0.25">
      <c r="AE191153" s="34"/>
      <c r="AF191153" s="34"/>
    </row>
    <row r="191161" spans="31:32" x14ac:dyDescent="0.25">
      <c r="AE191161" s="36"/>
      <c r="AF191161" s="36"/>
    </row>
    <row r="191257" spans="31:32" x14ac:dyDescent="0.25">
      <c r="AE191257" s="34"/>
      <c r="AF191257" s="34"/>
    </row>
    <row r="191265" spans="31:32" x14ac:dyDescent="0.25">
      <c r="AE191265" s="36"/>
      <c r="AF191265" s="36"/>
    </row>
    <row r="191361" spans="31:32" x14ac:dyDescent="0.25">
      <c r="AE191361" s="34"/>
      <c r="AF191361" s="34"/>
    </row>
    <row r="191369" spans="31:32" x14ac:dyDescent="0.25">
      <c r="AE191369" s="36"/>
      <c r="AF191369" s="36"/>
    </row>
    <row r="191465" spans="31:32" x14ac:dyDescent="0.25">
      <c r="AE191465" s="34"/>
      <c r="AF191465" s="34"/>
    </row>
    <row r="191473" spans="31:32" x14ac:dyDescent="0.25">
      <c r="AE191473" s="36"/>
      <c r="AF191473" s="36"/>
    </row>
    <row r="191569" spans="31:32" x14ac:dyDescent="0.25">
      <c r="AE191569" s="34"/>
      <c r="AF191569" s="34"/>
    </row>
    <row r="191577" spans="31:32" x14ac:dyDescent="0.25">
      <c r="AE191577" s="36"/>
      <c r="AF191577" s="36"/>
    </row>
    <row r="191673" spans="31:32" x14ac:dyDescent="0.25">
      <c r="AE191673" s="34"/>
      <c r="AF191673" s="34"/>
    </row>
    <row r="191681" spans="31:32" x14ac:dyDescent="0.25">
      <c r="AE191681" s="36"/>
      <c r="AF191681" s="36"/>
    </row>
    <row r="191777" spans="31:32" x14ac:dyDescent="0.25">
      <c r="AE191777" s="34"/>
      <c r="AF191777" s="34"/>
    </row>
    <row r="191785" spans="31:32" x14ac:dyDescent="0.25">
      <c r="AE191785" s="36"/>
      <c r="AF191785" s="36"/>
    </row>
    <row r="191881" spans="31:32" x14ac:dyDescent="0.25">
      <c r="AE191881" s="34"/>
      <c r="AF191881" s="34"/>
    </row>
    <row r="191889" spans="31:32" x14ac:dyDescent="0.25">
      <c r="AE191889" s="36"/>
      <c r="AF191889" s="36"/>
    </row>
    <row r="191985" spans="31:32" x14ac:dyDescent="0.25">
      <c r="AE191985" s="34"/>
      <c r="AF191985" s="34"/>
    </row>
    <row r="191993" spans="31:32" x14ac:dyDescent="0.25">
      <c r="AE191993" s="36"/>
      <c r="AF191993" s="36"/>
    </row>
    <row r="192089" spans="31:32" x14ac:dyDescent="0.25">
      <c r="AE192089" s="34"/>
      <c r="AF192089" s="34"/>
    </row>
    <row r="192097" spans="31:32" x14ac:dyDescent="0.25">
      <c r="AE192097" s="36"/>
      <c r="AF192097" s="36"/>
    </row>
    <row r="192193" spans="31:32" x14ac:dyDescent="0.25">
      <c r="AE192193" s="34"/>
      <c r="AF192193" s="34"/>
    </row>
    <row r="192201" spans="31:32" x14ac:dyDescent="0.25">
      <c r="AE192201" s="36"/>
      <c r="AF192201" s="36"/>
    </row>
    <row r="192297" spans="31:32" x14ac:dyDescent="0.25">
      <c r="AE192297" s="34"/>
      <c r="AF192297" s="34"/>
    </row>
    <row r="192305" spans="31:32" x14ac:dyDescent="0.25">
      <c r="AE192305" s="36"/>
      <c r="AF192305" s="36"/>
    </row>
    <row r="192401" spans="31:32" x14ac:dyDescent="0.25">
      <c r="AE192401" s="34"/>
      <c r="AF192401" s="34"/>
    </row>
    <row r="192409" spans="31:32" x14ac:dyDescent="0.25">
      <c r="AE192409" s="36"/>
      <c r="AF192409" s="36"/>
    </row>
    <row r="192505" spans="31:32" x14ac:dyDescent="0.25">
      <c r="AE192505" s="34"/>
      <c r="AF192505" s="34"/>
    </row>
    <row r="192513" spans="31:32" x14ac:dyDescent="0.25">
      <c r="AE192513" s="36"/>
      <c r="AF192513" s="36"/>
    </row>
    <row r="192609" spans="31:32" x14ac:dyDescent="0.25">
      <c r="AE192609" s="34"/>
      <c r="AF192609" s="34"/>
    </row>
    <row r="192617" spans="31:32" x14ac:dyDescent="0.25">
      <c r="AE192617" s="36"/>
      <c r="AF192617" s="36"/>
    </row>
    <row r="192713" spans="31:32" x14ac:dyDescent="0.25">
      <c r="AE192713" s="34"/>
      <c r="AF192713" s="34"/>
    </row>
    <row r="192721" spans="31:32" x14ac:dyDescent="0.25">
      <c r="AE192721" s="36"/>
      <c r="AF192721" s="36"/>
    </row>
    <row r="192817" spans="31:32" x14ac:dyDescent="0.25">
      <c r="AE192817" s="34"/>
      <c r="AF192817" s="34"/>
    </row>
    <row r="192825" spans="31:32" x14ac:dyDescent="0.25">
      <c r="AE192825" s="36"/>
      <c r="AF192825" s="36"/>
    </row>
    <row r="192921" spans="31:32" x14ac:dyDescent="0.25">
      <c r="AE192921" s="34"/>
      <c r="AF192921" s="34"/>
    </row>
    <row r="192929" spans="31:32" x14ac:dyDescent="0.25">
      <c r="AE192929" s="36"/>
      <c r="AF192929" s="36"/>
    </row>
    <row r="193025" spans="31:32" x14ac:dyDescent="0.25">
      <c r="AE193025" s="34"/>
      <c r="AF193025" s="34"/>
    </row>
    <row r="193033" spans="31:32" x14ac:dyDescent="0.25">
      <c r="AE193033" s="36"/>
      <c r="AF193033" s="36"/>
    </row>
    <row r="193129" spans="31:32" x14ac:dyDescent="0.25">
      <c r="AE193129" s="34"/>
      <c r="AF193129" s="34"/>
    </row>
    <row r="193137" spans="31:32" x14ac:dyDescent="0.25">
      <c r="AE193137" s="36"/>
      <c r="AF193137" s="36"/>
    </row>
    <row r="193233" spans="31:32" x14ac:dyDescent="0.25">
      <c r="AE193233" s="34"/>
      <c r="AF193233" s="34"/>
    </row>
    <row r="193241" spans="31:32" x14ac:dyDescent="0.25">
      <c r="AE193241" s="36"/>
      <c r="AF193241" s="36"/>
    </row>
    <row r="193337" spans="31:32" x14ac:dyDescent="0.25">
      <c r="AE193337" s="34"/>
      <c r="AF193337" s="34"/>
    </row>
    <row r="193345" spans="31:32" x14ac:dyDescent="0.25">
      <c r="AE193345" s="36"/>
      <c r="AF193345" s="36"/>
    </row>
    <row r="193441" spans="31:32" x14ac:dyDescent="0.25">
      <c r="AE193441" s="34"/>
      <c r="AF193441" s="34"/>
    </row>
    <row r="193449" spans="31:32" x14ac:dyDescent="0.25">
      <c r="AE193449" s="36"/>
      <c r="AF193449" s="36"/>
    </row>
    <row r="193545" spans="31:32" x14ac:dyDescent="0.25">
      <c r="AE193545" s="34"/>
      <c r="AF193545" s="34"/>
    </row>
    <row r="193553" spans="31:32" x14ac:dyDescent="0.25">
      <c r="AE193553" s="36"/>
      <c r="AF193553" s="36"/>
    </row>
    <row r="193649" spans="31:32" x14ac:dyDescent="0.25">
      <c r="AE193649" s="34"/>
      <c r="AF193649" s="34"/>
    </row>
    <row r="193657" spans="31:32" x14ac:dyDescent="0.25">
      <c r="AE193657" s="36"/>
      <c r="AF193657" s="36"/>
    </row>
    <row r="193753" spans="31:32" x14ac:dyDescent="0.25">
      <c r="AE193753" s="34"/>
      <c r="AF193753" s="34"/>
    </row>
    <row r="193761" spans="31:32" x14ac:dyDescent="0.25">
      <c r="AE193761" s="36"/>
      <c r="AF193761" s="36"/>
    </row>
    <row r="193857" spans="31:32" x14ac:dyDescent="0.25">
      <c r="AE193857" s="34"/>
      <c r="AF193857" s="34"/>
    </row>
    <row r="193865" spans="31:32" x14ac:dyDescent="0.25">
      <c r="AE193865" s="36"/>
      <c r="AF193865" s="36"/>
    </row>
    <row r="193961" spans="31:32" x14ac:dyDescent="0.25">
      <c r="AE193961" s="34"/>
      <c r="AF193961" s="34"/>
    </row>
    <row r="193969" spans="31:32" x14ac:dyDescent="0.25">
      <c r="AE193969" s="36"/>
      <c r="AF193969" s="36"/>
    </row>
    <row r="194065" spans="31:32" x14ac:dyDescent="0.25">
      <c r="AE194065" s="34"/>
      <c r="AF194065" s="34"/>
    </row>
    <row r="194073" spans="31:32" x14ac:dyDescent="0.25">
      <c r="AE194073" s="36"/>
      <c r="AF194073" s="36"/>
    </row>
    <row r="194169" spans="31:32" x14ac:dyDescent="0.25">
      <c r="AE194169" s="34"/>
      <c r="AF194169" s="34"/>
    </row>
    <row r="194177" spans="31:32" x14ac:dyDescent="0.25">
      <c r="AE194177" s="36"/>
      <c r="AF194177" s="36"/>
    </row>
    <row r="194273" spans="31:32" x14ac:dyDescent="0.25">
      <c r="AE194273" s="34"/>
      <c r="AF194273" s="34"/>
    </row>
    <row r="194281" spans="31:32" x14ac:dyDescent="0.25">
      <c r="AE194281" s="36"/>
      <c r="AF194281" s="36"/>
    </row>
    <row r="194377" spans="31:32" x14ac:dyDescent="0.25">
      <c r="AE194377" s="34"/>
      <c r="AF194377" s="34"/>
    </row>
    <row r="194385" spans="31:32" x14ac:dyDescent="0.25">
      <c r="AE194385" s="36"/>
      <c r="AF194385" s="36"/>
    </row>
    <row r="194481" spans="31:32" x14ac:dyDescent="0.25">
      <c r="AE194481" s="34"/>
      <c r="AF194481" s="34"/>
    </row>
    <row r="194489" spans="31:32" x14ac:dyDescent="0.25">
      <c r="AE194489" s="36"/>
      <c r="AF194489" s="36"/>
    </row>
    <row r="194585" spans="31:32" x14ac:dyDescent="0.25">
      <c r="AE194585" s="34"/>
      <c r="AF194585" s="34"/>
    </row>
    <row r="194593" spans="31:32" x14ac:dyDescent="0.25">
      <c r="AE194593" s="36"/>
      <c r="AF194593" s="36"/>
    </row>
    <row r="194689" spans="31:32" x14ac:dyDescent="0.25">
      <c r="AE194689" s="34"/>
      <c r="AF194689" s="34"/>
    </row>
    <row r="194697" spans="31:32" x14ac:dyDescent="0.25">
      <c r="AE194697" s="36"/>
      <c r="AF194697" s="36"/>
    </row>
    <row r="194793" spans="31:32" x14ac:dyDescent="0.25">
      <c r="AE194793" s="34"/>
      <c r="AF194793" s="34"/>
    </row>
    <row r="194801" spans="31:32" x14ac:dyDescent="0.25">
      <c r="AE194801" s="36"/>
      <c r="AF194801" s="36"/>
    </row>
    <row r="194897" spans="31:32" x14ac:dyDescent="0.25">
      <c r="AE194897" s="34"/>
      <c r="AF194897" s="34"/>
    </row>
    <row r="194905" spans="31:32" x14ac:dyDescent="0.25">
      <c r="AE194905" s="36"/>
      <c r="AF194905" s="36"/>
    </row>
    <row r="195001" spans="31:32" x14ac:dyDescent="0.25">
      <c r="AE195001" s="34"/>
      <c r="AF195001" s="34"/>
    </row>
    <row r="195009" spans="31:32" x14ac:dyDescent="0.25">
      <c r="AE195009" s="36"/>
      <c r="AF195009" s="36"/>
    </row>
    <row r="195105" spans="31:32" x14ac:dyDescent="0.25">
      <c r="AE195105" s="34"/>
      <c r="AF195105" s="34"/>
    </row>
    <row r="195113" spans="31:32" x14ac:dyDescent="0.25">
      <c r="AE195113" s="36"/>
      <c r="AF195113" s="36"/>
    </row>
    <row r="195209" spans="31:32" x14ac:dyDescent="0.25">
      <c r="AE195209" s="34"/>
      <c r="AF195209" s="34"/>
    </row>
    <row r="195217" spans="31:32" x14ac:dyDescent="0.25">
      <c r="AE195217" s="36"/>
      <c r="AF195217" s="36"/>
    </row>
    <row r="195313" spans="31:32" x14ac:dyDescent="0.25">
      <c r="AE195313" s="34"/>
      <c r="AF195313" s="34"/>
    </row>
    <row r="195321" spans="31:32" x14ac:dyDescent="0.25">
      <c r="AE195321" s="36"/>
      <c r="AF195321" s="36"/>
    </row>
    <row r="195417" spans="31:32" x14ac:dyDescent="0.25">
      <c r="AE195417" s="34"/>
      <c r="AF195417" s="34"/>
    </row>
    <row r="195425" spans="31:32" x14ac:dyDescent="0.25">
      <c r="AE195425" s="36"/>
      <c r="AF195425" s="36"/>
    </row>
    <row r="195521" spans="31:32" x14ac:dyDescent="0.25">
      <c r="AE195521" s="34"/>
      <c r="AF195521" s="34"/>
    </row>
    <row r="195529" spans="31:32" x14ac:dyDescent="0.25">
      <c r="AE195529" s="36"/>
      <c r="AF195529" s="36"/>
    </row>
    <row r="195625" spans="31:32" x14ac:dyDescent="0.25">
      <c r="AE195625" s="34"/>
      <c r="AF195625" s="34"/>
    </row>
    <row r="195633" spans="31:32" x14ac:dyDescent="0.25">
      <c r="AE195633" s="36"/>
      <c r="AF195633" s="36"/>
    </row>
    <row r="195729" spans="31:32" x14ac:dyDescent="0.25">
      <c r="AE195729" s="34"/>
      <c r="AF195729" s="34"/>
    </row>
    <row r="195737" spans="31:32" x14ac:dyDescent="0.25">
      <c r="AE195737" s="36"/>
      <c r="AF195737" s="36"/>
    </row>
    <row r="195833" spans="31:32" x14ac:dyDescent="0.25">
      <c r="AE195833" s="34"/>
      <c r="AF195833" s="34"/>
    </row>
    <row r="195841" spans="31:32" x14ac:dyDescent="0.25">
      <c r="AE195841" s="36"/>
      <c r="AF195841" s="36"/>
    </row>
    <row r="195937" spans="31:32" x14ac:dyDescent="0.25">
      <c r="AE195937" s="34"/>
      <c r="AF195937" s="34"/>
    </row>
    <row r="195945" spans="31:32" x14ac:dyDescent="0.25">
      <c r="AE195945" s="36"/>
      <c r="AF195945" s="36"/>
    </row>
    <row r="196041" spans="31:32" x14ac:dyDescent="0.25">
      <c r="AE196041" s="34"/>
      <c r="AF196041" s="34"/>
    </row>
    <row r="196049" spans="31:32" x14ac:dyDescent="0.25">
      <c r="AE196049" s="36"/>
      <c r="AF196049" s="36"/>
    </row>
    <row r="196145" spans="31:32" x14ac:dyDescent="0.25">
      <c r="AE196145" s="34"/>
      <c r="AF196145" s="34"/>
    </row>
    <row r="196153" spans="31:32" x14ac:dyDescent="0.25">
      <c r="AE196153" s="36"/>
      <c r="AF196153" s="36"/>
    </row>
    <row r="196249" spans="31:32" x14ac:dyDescent="0.25">
      <c r="AE196249" s="34"/>
      <c r="AF196249" s="34"/>
    </row>
    <row r="196257" spans="31:32" x14ac:dyDescent="0.25">
      <c r="AE196257" s="36"/>
      <c r="AF196257" s="36"/>
    </row>
    <row r="196353" spans="31:32" x14ac:dyDescent="0.25">
      <c r="AE196353" s="34"/>
      <c r="AF196353" s="34"/>
    </row>
    <row r="196361" spans="31:32" x14ac:dyDescent="0.25">
      <c r="AE196361" s="36"/>
      <c r="AF196361" s="36"/>
    </row>
    <row r="196457" spans="31:32" x14ac:dyDescent="0.25">
      <c r="AE196457" s="34"/>
      <c r="AF196457" s="34"/>
    </row>
    <row r="196465" spans="31:32" x14ac:dyDescent="0.25">
      <c r="AE196465" s="36"/>
      <c r="AF196465" s="36"/>
    </row>
    <row r="196561" spans="31:32" x14ac:dyDescent="0.25">
      <c r="AE196561" s="34"/>
      <c r="AF196561" s="34"/>
    </row>
    <row r="196569" spans="31:32" x14ac:dyDescent="0.25">
      <c r="AE196569" s="36"/>
      <c r="AF196569" s="36"/>
    </row>
    <row r="196665" spans="31:32" x14ac:dyDescent="0.25">
      <c r="AE196665" s="34"/>
      <c r="AF196665" s="34"/>
    </row>
    <row r="196673" spans="31:32" x14ac:dyDescent="0.25">
      <c r="AE196673" s="36"/>
      <c r="AF196673" s="36"/>
    </row>
    <row r="196769" spans="31:32" x14ac:dyDescent="0.25">
      <c r="AE196769" s="34"/>
      <c r="AF196769" s="34"/>
    </row>
    <row r="196777" spans="31:32" x14ac:dyDescent="0.25">
      <c r="AE196777" s="36"/>
      <c r="AF196777" s="36"/>
    </row>
    <row r="196873" spans="31:32" x14ac:dyDescent="0.25">
      <c r="AE196873" s="34"/>
      <c r="AF196873" s="34"/>
    </row>
    <row r="196881" spans="31:32" x14ac:dyDescent="0.25">
      <c r="AE196881" s="36"/>
      <c r="AF196881" s="36"/>
    </row>
    <row r="196977" spans="31:32" x14ac:dyDescent="0.25">
      <c r="AE196977" s="34"/>
      <c r="AF196977" s="34"/>
    </row>
    <row r="196985" spans="31:32" x14ac:dyDescent="0.25">
      <c r="AE196985" s="36"/>
      <c r="AF196985" s="36"/>
    </row>
    <row r="197081" spans="31:32" x14ac:dyDescent="0.25">
      <c r="AE197081" s="34"/>
      <c r="AF197081" s="34"/>
    </row>
    <row r="197089" spans="31:32" x14ac:dyDescent="0.25">
      <c r="AE197089" s="36"/>
      <c r="AF197089" s="36"/>
    </row>
    <row r="197185" spans="31:32" x14ac:dyDescent="0.25">
      <c r="AE197185" s="34"/>
      <c r="AF197185" s="34"/>
    </row>
    <row r="197193" spans="31:32" x14ac:dyDescent="0.25">
      <c r="AE197193" s="36"/>
      <c r="AF197193" s="36"/>
    </row>
    <row r="197289" spans="31:32" x14ac:dyDescent="0.25">
      <c r="AE197289" s="34"/>
      <c r="AF197289" s="34"/>
    </row>
    <row r="197297" spans="31:32" x14ac:dyDescent="0.25">
      <c r="AE197297" s="36"/>
      <c r="AF197297" s="36"/>
    </row>
    <row r="197393" spans="31:32" x14ac:dyDescent="0.25">
      <c r="AE197393" s="34"/>
      <c r="AF197393" s="34"/>
    </row>
    <row r="197401" spans="31:32" x14ac:dyDescent="0.25">
      <c r="AE197401" s="36"/>
      <c r="AF197401" s="36"/>
    </row>
    <row r="197497" spans="31:32" x14ac:dyDescent="0.25">
      <c r="AE197497" s="34"/>
      <c r="AF197497" s="34"/>
    </row>
    <row r="197505" spans="31:32" x14ac:dyDescent="0.25">
      <c r="AE197505" s="36"/>
      <c r="AF197505" s="36"/>
    </row>
    <row r="197601" spans="31:32" x14ac:dyDescent="0.25">
      <c r="AE197601" s="34"/>
      <c r="AF197601" s="34"/>
    </row>
    <row r="197609" spans="31:32" x14ac:dyDescent="0.25">
      <c r="AE197609" s="36"/>
      <c r="AF197609" s="36"/>
    </row>
    <row r="197705" spans="31:32" x14ac:dyDescent="0.25">
      <c r="AE197705" s="34"/>
      <c r="AF197705" s="34"/>
    </row>
    <row r="197713" spans="31:32" x14ac:dyDescent="0.25">
      <c r="AE197713" s="36"/>
      <c r="AF197713" s="36"/>
    </row>
    <row r="197809" spans="31:32" x14ac:dyDescent="0.25">
      <c r="AE197809" s="34"/>
      <c r="AF197809" s="34"/>
    </row>
    <row r="197817" spans="31:32" x14ac:dyDescent="0.25">
      <c r="AE197817" s="36"/>
      <c r="AF197817" s="36"/>
    </row>
    <row r="197913" spans="31:32" x14ac:dyDescent="0.25">
      <c r="AE197913" s="34"/>
      <c r="AF197913" s="34"/>
    </row>
    <row r="197921" spans="31:32" x14ac:dyDescent="0.25">
      <c r="AE197921" s="36"/>
      <c r="AF197921" s="36"/>
    </row>
    <row r="198017" spans="31:32" x14ac:dyDescent="0.25">
      <c r="AE198017" s="34"/>
      <c r="AF198017" s="34"/>
    </row>
    <row r="198025" spans="31:32" x14ac:dyDescent="0.25">
      <c r="AE198025" s="36"/>
      <c r="AF198025" s="36"/>
    </row>
    <row r="198121" spans="31:32" x14ac:dyDescent="0.25">
      <c r="AE198121" s="34"/>
      <c r="AF198121" s="34"/>
    </row>
    <row r="198129" spans="31:32" x14ac:dyDescent="0.25">
      <c r="AE198129" s="36"/>
      <c r="AF198129" s="36"/>
    </row>
    <row r="198225" spans="31:32" x14ac:dyDescent="0.25">
      <c r="AE198225" s="34"/>
      <c r="AF198225" s="34"/>
    </row>
    <row r="198233" spans="31:32" x14ac:dyDescent="0.25">
      <c r="AE198233" s="36"/>
      <c r="AF198233" s="36"/>
    </row>
    <row r="198329" spans="31:32" x14ac:dyDescent="0.25">
      <c r="AE198329" s="34"/>
      <c r="AF198329" s="34"/>
    </row>
    <row r="198337" spans="31:32" x14ac:dyDescent="0.25">
      <c r="AE198337" s="36"/>
      <c r="AF198337" s="36"/>
    </row>
    <row r="198433" spans="31:32" x14ac:dyDescent="0.25">
      <c r="AE198433" s="34"/>
      <c r="AF198433" s="34"/>
    </row>
    <row r="198441" spans="31:32" x14ac:dyDescent="0.25">
      <c r="AE198441" s="36"/>
      <c r="AF198441" s="36"/>
    </row>
    <row r="198537" spans="31:32" x14ac:dyDescent="0.25">
      <c r="AE198537" s="34"/>
      <c r="AF198537" s="34"/>
    </row>
    <row r="198545" spans="31:32" x14ac:dyDescent="0.25">
      <c r="AE198545" s="36"/>
      <c r="AF198545" s="36"/>
    </row>
    <row r="198641" spans="31:32" x14ac:dyDescent="0.25">
      <c r="AE198641" s="34"/>
      <c r="AF198641" s="34"/>
    </row>
    <row r="198649" spans="31:32" x14ac:dyDescent="0.25">
      <c r="AE198649" s="36"/>
      <c r="AF198649" s="36"/>
    </row>
    <row r="198745" spans="31:32" x14ac:dyDescent="0.25">
      <c r="AE198745" s="34"/>
      <c r="AF198745" s="34"/>
    </row>
    <row r="198753" spans="31:32" x14ac:dyDescent="0.25">
      <c r="AE198753" s="36"/>
      <c r="AF198753" s="36"/>
    </row>
    <row r="198849" spans="31:32" x14ac:dyDescent="0.25">
      <c r="AE198849" s="34"/>
      <c r="AF198849" s="34"/>
    </row>
    <row r="198857" spans="31:32" x14ac:dyDescent="0.25">
      <c r="AE198857" s="36"/>
      <c r="AF198857" s="36"/>
    </row>
    <row r="198953" spans="31:32" x14ac:dyDescent="0.25">
      <c r="AE198953" s="34"/>
      <c r="AF198953" s="34"/>
    </row>
    <row r="198961" spans="31:32" x14ac:dyDescent="0.25">
      <c r="AE198961" s="36"/>
      <c r="AF198961" s="36"/>
    </row>
    <row r="199057" spans="31:32" x14ac:dyDescent="0.25">
      <c r="AE199057" s="34"/>
      <c r="AF199057" s="34"/>
    </row>
    <row r="199065" spans="31:32" x14ac:dyDescent="0.25">
      <c r="AE199065" s="36"/>
      <c r="AF199065" s="36"/>
    </row>
    <row r="199161" spans="31:32" x14ac:dyDescent="0.25">
      <c r="AE199161" s="34"/>
      <c r="AF199161" s="34"/>
    </row>
    <row r="199169" spans="31:32" x14ac:dyDescent="0.25">
      <c r="AE199169" s="36"/>
      <c r="AF199169" s="36"/>
    </row>
    <row r="199265" spans="31:32" x14ac:dyDescent="0.25">
      <c r="AE199265" s="34"/>
      <c r="AF199265" s="34"/>
    </row>
    <row r="199273" spans="31:32" x14ac:dyDescent="0.25">
      <c r="AE199273" s="36"/>
      <c r="AF199273" s="36"/>
    </row>
    <row r="199369" spans="31:32" x14ac:dyDescent="0.25">
      <c r="AE199369" s="34"/>
      <c r="AF199369" s="34"/>
    </row>
    <row r="199377" spans="31:32" x14ac:dyDescent="0.25">
      <c r="AE199377" s="36"/>
      <c r="AF199377" s="36"/>
    </row>
    <row r="199473" spans="31:32" x14ac:dyDescent="0.25">
      <c r="AE199473" s="34"/>
      <c r="AF199473" s="34"/>
    </row>
    <row r="199481" spans="31:32" x14ac:dyDescent="0.25">
      <c r="AE199481" s="36"/>
      <c r="AF199481" s="36"/>
    </row>
    <row r="199577" spans="31:32" x14ac:dyDescent="0.25">
      <c r="AE199577" s="34"/>
      <c r="AF199577" s="34"/>
    </row>
    <row r="199585" spans="31:32" x14ac:dyDescent="0.25">
      <c r="AE199585" s="36"/>
      <c r="AF199585" s="36"/>
    </row>
    <row r="199681" spans="31:32" x14ac:dyDescent="0.25">
      <c r="AE199681" s="34"/>
      <c r="AF199681" s="34"/>
    </row>
    <row r="199689" spans="31:32" x14ac:dyDescent="0.25">
      <c r="AE199689" s="36"/>
      <c r="AF199689" s="36"/>
    </row>
    <row r="199785" spans="31:32" x14ac:dyDescent="0.25">
      <c r="AE199785" s="34"/>
      <c r="AF199785" s="34"/>
    </row>
    <row r="199793" spans="31:32" x14ac:dyDescent="0.25">
      <c r="AE199793" s="36"/>
      <c r="AF199793" s="36"/>
    </row>
    <row r="199889" spans="31:32" x14ac:dyDescent="0.25">
      <c r="AE199889" s="34"/>
      <c r="AF199889" s="34"/>
    </row>
    <row r="199897" spans="31:32" x14ac:dyDescent="0.25">
      <c r="AE199897" s="36"/>
      <c r="AF199897" s="36"/>
    </row>
    <row r="199993" spans="31:32" x14ac:dyDescent="0.25">
      <c r="AE199993" s="34"/>
      <c r="AF199993" s="34"/>
    </row>
    <row r="200001" spans="31:32" x14ac:dyDescent="0.25">
      <c r="AE200001" s="36"/>
      <c r="AF200001" s="36"/>
    </row>
    <row r="200097" spans="31:32" x14ac:dyDescent="0.25">
      <c r="AE200097" s="34"/>
      <c r="AF200097" s="34"/>
    </row>
    <row r="200105" spans="31:32" x14ac:dyDescent="0.25">
      <c r="AE200105" s="36"/>
      <c r="AF200105" s="36"/>
    </row>
    <row r="200201" spans="31:32" x14ac:dyDescent="0.25">
      <c r="AE200201" s="34"/>
      <c r="AF200201" s="34"/>
    </row>
    <row r="200209" spans="31:32" x14ac:dyDescent="0.25">
      <c r="AE200209" s="36"/>
      <c r="AF200209" s="36"/>
    </row>
    <row r="200305" spans="31:32" x14ac:dyDescent="0.25">
      <c r="AE200305" s="34"/>
      <c r="AF200305" s="34"/>
    </row>
    <row r="200313" spans="31:32" x14ac:dyDescent="0.25">
      <c r="AE200313" s="36"/>
      <c r="AF200313" s="36"/>
    </row>
    <row r="200409" spans="31:32" x14ac:dyDescent="0.25">
      <c r="AE200409" s="34"/>
      <c r="AF200409" s="34"/>
    </row>
    <row r="200417" spans="31:32" x14ac:dyDescent="0.25">
      <c r="AE200417" s="36"/>
      <c r="AF200417" s="36"/>
    </row>
    <row r="200513" spans="31:32" x14ac:dyDescent="0.25">
      <c r="AE200513" s="34"/>
      <c r="AF200513" s="34"/>
    </row>
    <row r="200521" spans="31:32" x14ac:dyDescent="0.25">
      <c r="AE200521" s="36"/>
      <c r="AF200521" s="36"/>
    </row>
    <row r="200617" spans="31:32" x14ac:dyDescent="0.25">
      <c r="AE200617" s="34"/>
      <c r="AF200617" s="34"/>
    </row>
    <row r="200625" spans="31:32" x14ac:dyDescent="0.25">
      <c r="AE200625" s="36"/>
      <c r="AF200625" s="36"/>
    </row>
    <row r="200721" spans="31:32" x14ac:dyDescent="0.25">
      <c r="AE200721" s="34"/>
      <c r="AF200721" s="34"/>
    </row>
    <row r="200729" spans="31:32" x14ac:dyDescent="0.25">
      <c r="AE200729" s="36"/>
      <c r="AF200729" s="36"/>
    </row>
    <row r="200825" spans="31:32" x14ac:dyDescent="0.25">
      <c r="AE200825" s="34"/>
      <c r="AF200825" s="34"/>
    </row>
    <row r="200833" spans="31:32" x14ac:dyDescent="0.25">
      <c r="AE200833" s="36"/>
      <c r="AF200833" s="36"/>
    </row>
    <row r="200929" spans="31:32" x14ac:dyDescent="0.25">
      <c r="AE200929" s="34"/>
      <c r="AF200929" s="34"/>
    </row>
    <row r="200937" spans="31:32" x14ac:dyDescent="0.25">
      <c r="AE200937" s="36"/>
      <c r="AF200937" s="36"/>
    </row>
    <row r="201033" spans="31:32" x14ac:dyDescent="0.25">
      <c r="AE201033" s="34"/>
      <c r="AF201033" s="34"/>
    </row>
    <row r="201041" spans="31:32" x14ac:dyDescent="0.25">
      <c r="AE201041" s="36"/>
      <c r="AF201041" s="36"/>
    </row>
    <row r="201137" spans="31:32" x14ac:dyDescent="0.25">
      <c r="AE201137" s="34"/>
      <c r="AF201137" s="34"/>
    </row>
    <row r="201145" spans="31:32" x14ac:dyDescent="0.25">
      <c r="AE201145" s="36"/>
      <c r="AF201145" s="36"/>
    </row>
    <row r="201241" spans="31:32" x14ac:dyDescent="0.25">
      <c r="AE201241" s="34"/>
      <c r="AF201241" s="34"/>
    </row>
    <row r="201249" spans="31:32" x14ac:dyDescent="0.25">
      <c r="AE201249" s="36"/>
      <c r="AF201249" s="36"/>
    </row>
    <row r="201345" spans="31:32" x14ac:dyDescent="0.25">
      <c r="AE201345" s="34"/>
      <c r="AF201345" s="34"/>
    </row>
    <row r="201353" spans="31:32" x14ac:dyDescent="0.25">
      <c r="AE201353" s="36"/>
      <c r="AF201353" s="36"/>
    </row>
    <row r="201449" spans="31:32" x14ac:dyDescent="0.25">
      <c r="AE201449" s="34"/>
      <c r="AF201449" s="34"/>
    </row>
    <row r="201457" spans="31:32" x14ac:dyDescent="0.25">
      <c r="AE201457" s="36"/>
      <c r="AF201457" s="36"/>
    </row>
    <row r="201553" spans="31:32" x14ac:dyDescent="0.25">
      <c r="AE201553" s="34"/>
      <c r="AF201553" s="34"/>
    </row>
    <row r="201561" spans="31:32" x14ac:dyDescent="0.25">
      <c r="AE201561" s="36"/>
      <c r="AF201561" s="36"/>
    </row>
    <row r="201657" spans="31:32" x14ac:dyDescent="0.25">
      <c r="AE201657" s="34"/>
      <c r="AF201657" s="34"/>
    </row>
    <row r="201665" spans="31:32" x14ac:dyDescent="0.25">
      <c r="AE201665" s="36"/>
      <c r="AF201665" s="36"/>
    </row>
    <row r="201761" spans="31:32" x14ac:dyDescent="0.25">
      <c r="AE201761" s="34"/>
      <c r="AF201761" s="34"/>
    </row>
    <row r="201769" spans="31:32" x14ac:dyDescent="0.25">
      <c r="AE201769" s="36"/>
      <c r="AF201769" s="36"/>
    </row>
    <row r="201865" spans="31:32" x14ac:dyDescent="0.25">
      <c r="AE201865" s="34"/>
      <c r="AF201865" s="34"/>
    </row>
    <row r="201873" spans="31:32" x14ac:dyDescent="0.25">
      <c r="AE201873" s="36"/>
      <c r="AF201873" s="36"/>
    </row>
    <row r="201969" spans="31:32" x14ac:dyDescent="0.25">
      <c r="AE201969" s="34"/>
      <c r="AF201969" s="34"/>
    </row>
    <row r="201977" spans="31:32" x14ac:dyDescent="0.25">
      <c r="AE201977" s="36"/>
      <c r="AF201977" s="36"/>
    </row>
    <row r="202073" spans="31:32" x14ac:dyDescent="0.25">
      <c r="AE202073" s="34"/>
      <c r="AF202073" s="34"/>
    </row>
    <row r="202081" spans="31:32" x14ac:dyDescent="0.25">
      <c r="AE202081" s="36"/>
      <c r="AF202081" s="36"/>
    </row>
    <row r="202177" spans="31:32" x14ac:dyDescent="0.25">
      <c r="AE202177" s="34"/>
      <c r="AF202177" s="34"/>
    </row>
    <row r="202185" spans="31:32" x14ac:dyDescent="0.25">
      <c r="AE202185" s="36"/>
      <c r="AF202185" s="36"/>
    </row>
    <row r="202281" spans="31:32" x14ac:dyDescent="0.25">
      <c r="AE202281" s="34"/>
      <c r="AF202281" s="34"/>
    </row>
    <row r="202289" spans="31:32" x14ac:dyDescent="0.25">
      <c r="AE202289" s="36"/>
      <c r="AF202289" s="36"/>
    </row>
    <row r="202385" spans="31:32" x14ac:dyDescent="0.25">
      <c r="AE202385" s="34"/>
      <c r="AF202385" s="34"/>
    </row>
    <row r="202393" spans="31:32" x14ac:dyDescent="0.25">
      <c r="AE202393" s="36"/>
      <c r="AF202393" s="36"/>
    </row>
    <row r="202489" spans="31:32" x14ac:dyDescent="0.25">
      <c r="AE202489" s="34"/>
      <c r="AF202489" s="34"/>
    </row>
    <row r="202497" spans="31:32" x14ac:dyDescent="0.25">
      <c r="AE202497" s="36"/>
      <c r="AF202497" s="36"/>
    </row>
    <row r="202593" spans="31:32" x14ac:dyDescent="0.25">
      <c r="AE202593" s="34"/>
      <c r="AF202593" s="34"/>
    </row>
    <row r="202601" spans="31:32" x14ac:dyDescent="0.25">
      <c r="AE202601" s="36"/>
      <c r="AF202601" s="36"/>
    </row>
    <row r="202697" spans="31:32" x14ac:dyDescent="0.25">
      <c r="AE202697" s="34"/>
      <c r="AF202697" s="34"/>
    </row>
    <row r="202705" spans="31:32" x14ac:dyDescent="0.25">
      <c r="AE202705" s="36"/>
      <c r="AF202705" s="36"/>
    </row>
    <row r="202801" spans="31:32" x14ac:dyDescent="0.25">
      <c r="AE202801" s="34"/>
      <c r="AF202801" s="34"/>
    </row>
    <row r="202809" spans="31:32" x14ac:dyDescent="0.25">
      <c r="AE202809" s="36"/>
      <c r="AF202809" s="36"/>
    </row>
    <row r="202905" spans="31:32" x14ac:dyDescent="0.25">
      <c r="AE202905" s="34"/>
      <c r="AF202905" s="34"/>
    </row>
    <row r="202913" spans="31:32" x14ac:dyDescent="0.25">
      <c r="AE202913" s="36"/>
      <c r="AF202913" s="36"/>
    </row>
    <row r="203009" spans="31:32" x14ac:dyDescent="0.25">
      <c r="AE203009" s="34"/>
      <c r="AF203009" s="34"/>
    </row>
    <row r="203017" spans="31:32" x14ac:dyDescent="0.25">
      <c r="AE203017" s="36"/>
      <c r="AF203017" s="36"/>
    </row>
    <row r="203113" spans="31:32" x14ac:dyDescent="0.25">
      <c r="AE203113" s="34"/>
      <c r="AF203113" s="34"/>
    </row>
    <row r="203121" spans="31:32" x14ac:dyDescent="0.25">
      <c r="AE203121" s="36"/>
      <c r="AF203121" s="36"/>
    </row>
    <row r="203217" spans="31:32" x14ac:dyDescent="0.25">
      <c r="AE203217" s="34"/>
      <c r="AF203217" s="34"/>
    </row>
    <row r="203225" spans="31:32" x14ac:dyDescent="0.25">
      <c r="AE203225" s="36"/>
      <c r="AF203225" s="36"/>
    </row>
    <row r="203321" spans="31:32" x14ac:dyDescent="0.25">
      <c r="AE203321" s="34"/>
      <c r="AF203321" s="34"/>
    </row>
    <row r="203329" spans="31:32" x14ac:dyDescent="0.25">
      <c r="AE203329" s="36"/>
      <c r="AF203329" s="36"/>
    </row>
    <row r="203425" spans="31:32" x14ac:dyDescent="0.25">
      <c r="AE203425" s="34"/>
      <c r="AF203425" s="34"/>
    </row>
    <row r="203433" spans="31:32" x14ac:dyDescent="0.25">
      <c r="AE203433" s="36"/>
      <c r="AF203433" s="36"/>
    </row>
    <row r="203529" spans="31:32" x14ac:dyDescent="0.25">
      <c r="AE203529" s="34"/>
      <c r="AF203529" s="34"/>
    </row>
    <row r="203537" spans="31:32" x14ac:dyDescent="0.25">
      <c r="AE203537" s="36"/>
      <c r="AF203537" s="36"/>
    </row>
    <row r="203633" spans="31:32" x14ac:dyDescent="0.25">
      <c r="AE203633" s="34"/>
      <c r="AF203633" s="34"/>
    </row>
    <row r="203641" spans="31:32" x14ac:dyDescent="0.25">
      <c r="AE203641" s="36"/>
      <c r="AF203641" s="36"/>
    </row>
    <row r="203737" spans="31:32" x14ac:dyDescent="0.25">
      <c r="AE203737" s="34"/>
      <c r="AF203737" s="34"/>
    </row>
    <row r="203745" spans="31:32" x14ac:dyDescent="0.25">
      <c r="AE203745" s="36"/>
      <c r="AF203745" s="36"/>
    </row>
    <row r="203841" spans="31:32" x14ac:dyDescent="0.25">
      <c r="AE203841" s="34"/>
      <c r="AF203841" s="34"/>
    </row>
    <row r="203849" spans="31:32" x14ac:dyDescent="0.25">
      <c r="AE203849" s="36"/>
      <c r="AF203849" s="36"/>
    </row>
    <row r="203945" spans="31:32" x14ac:dyDescent="0.25">
      <c r="AE203945" s="34"/>
      <c r="AF203945" s="34"/>
    </row>
    <row r="203953" spans="31:32" x14ac:dyDescent="0.25">
      <c r="AE203953" s="36"/>
      <c r="AF203953" s="36"/>
    </row>
    <row r="204049" spans="31:32" x14ac:dyDescent="0.25">
      <c r="AE204049" s="34"/>
      <c r="AF204049" s="34"/>
    </row>
    <row r="204057" spans="31:32" x14ac:dyDescent="0.25">
      <c r="AE204057" s="36"/>
      <c r="AF204057" s="36"/>
    </row>
    <row r="204153" spans="31:32" x14ac:dyDescent="0.25">
      <c r="AE204153" s="34"/>
      <c r="AF204153" s="34"/>
    </row>
    <row r="204161" spans="31:32" x14ac:dyDescent="0.25">
      <c r="AE204161" s="36"/>
      <c r="AF204161" s="36"/>
    </row>
    <row r="204257" spans="31:32" x14ac:dyDescent="0.25">
      <c r="AE204257" s="34"/>
      <c r="AF204257" s="34"/>
    </row>
    <row r="204265" spans="31:32" x14ac:dyDescent="0.25">
      <c r="AE204265" s="36"/>
      <c r="AF204265" s="36"/>
    </row>
    <row r="204361" spans="31:32" x14ac:dyDescent="0.25">
      <c r="AE204361" s="34"/>
      <c r="AF204361" s="34"/>
    </row>
    <row r="204369" spans="31:32" x14ac:dyDescent="0.25">
      <c r="AE204369" s="36"/>
      <c r="AF204369" s="36"/>
    </row>
    <row r="204465" spans="31:32" x14ac:dyDescent="0.25">
      <c r="AE204465" s="34"/>
      <c r="AF204465" s="34"/>
    </row>
    <row r="204473" spans="31:32" x14ac:dyDescent="0.25">
      <c r="AE204473" s="36"/>
      <c r="AF204473" s="36"/>
    </row>
    <row r="204569" spans="31:32" x14ac:dyDescent="0.25">
      <c r="AE204569" s="34"/>
      <c r="AF204569" s="34"/>
    </row>
    <row r="204577" spans="31:32" x14ac:dyDescent="0.25">
      <c r="AE204577" s="36"/>
      <c r="AF204577" s="36"/>
    </row>
    <row r="204673" spans="31:32" x14ac:dyDescent="0.25">
      <c r="AE204673" s="34"/>
      <c r="AF204673" s="34"/>
    </row>
    <row r="204681" spans="31:32" x14ac:dyDescent="0.25">
      <c r="AE204681" s="36"/>
      <c r="AF204681" s="36"/>
    </row>
    <row r="204777" spans="31:32" x14ac:dyDescent="0.25">
      <c r="AE204777" s="34"/>
      <c r="AF204777" s="34"/>
    </row>
    <row r="204785" spans="31:32" x14ac:dyDescent="0.25">
      <c r="AE204785" s="36"/>
      <c r="AF204785" s="36"/>
    </row>
    <row r="204881" spans="31:32" x14ac:dyDescent="0.25">
      <c r="AE204881" s="34"/>
      <c r="AF204881" s="34"/>
    </row>
    <row r="204889" spans="31:32" x14ac:dyDescent="0.25">
      <c r="AE204889" s="36"/>
      <c r="AF204889" s="36"/>
    </row>
    <row r="204985" spans="31:32" x14ac:dyDescent="0.25">
      <c r="AE204985" s="34"/>
      <c r="AF204985" s="34"/>
    </row>
    <row r="204993" spans="31:32" x14ac:dyDescent="0.25">
      <c r="AE204993" s="36"/>
      <c r="AF204993" s="36"/>
    </row>
    <row r="205089" spans="31:32" x14ac:dyDescent="0.25">
      <c r="AE205089" s="34"/>
      <c r="AF205089" s="34"/>
    </row>
    <row r="205097" spans="31:32" x14ac:dyDescent="0.25">
      <c r="AE205097" s="36"/>
      <c r="AF205097" s="36"/>
    </row>
    <row r="205193" spans="31:32" x14ac:dyDescent="0.25">
      <c r="AE205193" s="34"/>
      <c r="AF205193" s="34"/>
    </row>
    <row r="205201" spans="31:32" x14ac:dyDescent="0.25">
      <c r="AE205201" s="36"/>
      <c r="AF205201" s="36"/>
    </row>
    <row r="205297" spans="31:32" x14ac:dyDescent="0.25">
      <c r="AE205297" s="34"/>
      <c r="AF205297" s="34"/>
    </row>
    <row r="205305" spans="31:32" x14ac:dyDescent="0.25">
      <c r="AE205305" s="36"/>
      <c r="AF205305" s="36"/>
    </row>
    <row r="205401" spans="31:32" x14ac:dyDescent="0.25">
      <c r="AE205401" s="34"/>
      <c r="AF205401" s="34"/>
    </row>
    <row r="205409" spans="31:32" x14ac:dyDescent="0.25">
      <c r="AE205409" s="36"/>
      <c r="AF205409" s="36"/>
    </row>
    <row r="205505" spans="31:32" x14ac:dyDescent="0.25">
      <c r="AE205505" s="34"/>
      <c r="AF205505" s="34"/>
    </row>
    <row r="205513" spans="31:32" x14ac:dyDescent="0.25">
      <c r="AE205513" s="36"/>
      <c r="AF205513" s="36"/>
    </row>
    <row r="205609" spans="31:32" x14ac:dyDescent="0.25">
      <c r="AE205609" s="34"/>
      <c r="AF205609" s="34"/>
    </row>
    <row r="205617" spans="31:32" x14ac:dyDescent="0.25">
      <c r="AE205617" s="36"/>
      <c r="AF205617" s="36"/>
    </row>
    <row r="205713" spans="31:32" x14ac:dyDescent="0.25">
      <c r="AE205713" s="34"/>
      <c r="AF205713" s="34"/>
    </row>
    <row r="205721" spans="31:32" x14ac:dyDescent="0.25">
      <c r="AE205721" s="36"/>
      <c r="AF205721" s="36"/>
    </row>
    <row r="205817" spans="31:32" x14ac:dyDescent="0.25">
      <c r="AE205817" s="34"/>
      <c r="AF205817" s="34"/>
    </row>
    <row r="205825" spans="31:32" x14ac:dyDescent="0.25">
      <c r="AE205825" s="36"/>
      <c r="AF205825" s="36"/>
    </row>
    <row r="205921" spans="31:32" x14ac:dyDescent="0.25">
      <c r="AE205921" s="34"/>
      <c r="AF205921" s="34"/>
    </row>
    <row r="205929" spans="31:32" x14ac:dyDescent="0.25">
      <c r="AE205929" s="36"/>
      <c r="AF205929" s="36"/>
    </row>
    <row r="206025" spans="31:32" x14ac:dyDescent="0.25">
      <c r="AE206025" s="34"/>
      <c r="AF206025" s="34"/>
    </row>
    <row r="206033" spans="31:32" x14ac:dyDescent="0.25">
      <c r="AE206033" s="36"/>
      <c r="AF206033" s="36"/>
    </row>
    <row r="206129" spans="31:32" x14ac:dyDescent="0.25">
      <c r="AE206129" s="34"/>
      <c r="AF206129" s="34"/>
    </row>
    <row r="206137" spans="31:32" x14ac:dyDescent="0.25">
      <c r="AE206137" s="36"/>
      <c r="AF206137" s="36"/>
    </row>
    <row r="206233" spans="31:32" x14ac:dyDescent="0.25">
      <c r="AE206233" s="34"/>
      <c r="AF206233" s="34"/>
    </row>
    <row r="206241" spans="31:32" x14ac:dyDescent="0.25">
      <c r="AE206241" s="36"/>
      <c r="AF206241" s="36"/>
    </row>
    <row r="206337" spans="31:32" x14ac:dyDescent="0.25">
      <c r="AE206337" s="34"/>
      <c r="AF206337" s="34"/>
    </row>
    <row r="206345" spans="31:32" x14ac:dyDescent="0.25">
      <c r="AE206345" s="36"/>
      <c r="AF206345" s="36"/>
    </row>
    <row r="206441" spans="31:32" x14ac:dyDescent="0.25">
      <c r="AE206441" s="34"/>
      <c r="AF206441" s="34"/>
    </row>
    <row r="206449" spans="31:32" x14ac:dyDescent="0.25">
      <c r="AE206449" s="36"/>
      <c r="AF206449" s="36"/>
    </row>
    <row r="206545" spans="31:32" x14ac:dyDescent="0.25">
      <c r="AE206545" s="34"/>
      <c r="AF206545" s="34"/>
    </row>
    <row r="206553" spans="31:32" x14ac:dyDescent="0.25">
      <c r="AE206553" s="36"/>
      <c r="AF206553" s="36"/>
    </row>
    <row r="206649" spans="31:32" x14ac:dyDescent="0.25">
      <c r="AE206649" s="34"/>
      <c r="AF206649" s="34"/>
    </row>
    <row r="206657" spans="31:32" x14ac:dyDescent="0.25">
      <c r="AE206657" s="36"/>
      <c r="AF206657" s="36"/>
    </row>
    <row r="206753" spans="31:32" x14ac:dyDescent="0.25">
      <c r="AE206753" s="34"/>
      <c r="AF206753" s="34"/>
    </row>
    <row r="206761" spans="31:32" x14ac:dyDescent="0.25">
      <c r="AE206761" s="36"/>
      <c r="AF206761" s="36"/>
    </row>
    <row r="206857" spans="31:32" x14ac:dyDescent="0.25">
      <c r="AE206857" s="34"/>
      <c r="AF206857" s="34"/>
    </row>
    <row r="206865" spans="31:32" x14ac:dyDescent="0.25">
      <c r="AE206865" s="36"/>
      <c r="AF206865" s="36"/>
    </row>
    <row r="206961" spans="31:32" x14ac:dyDescent="0.25">
      <c r="AE206961" s="34"/>
      <c r="AF206961" s="34"/>
    </row>
    <row r="206969" spans="31:32" x14ac:dyDescent="0.25">
      <c r="AE206969" s="36"/>
      <c r="AF206969" s="36"/>
    </row>
    <row r="207065" spans="31:32" x14ac:dyDescent="0.25">
      <c r="AE207065" s="34"/>
      <c r="AF207065" s="34"/>
    </row>
    <row r="207073" spans="31:32" x14ac:dyDescent="0.25">
      <c r="AE207073" s="36"/>
      <c r="AF207073" s="36"/>
    </row>
    <row r="207169" spans="31:32" x14ac:dyDescent="0.25">
      <c r="AE207169" s="34"/>
      <c r="AF207169" s="34"/>
    </row>
    <row r="207177" spans="31:32" x14ac:dyDescent="0.25">
      <c r="AE207177" s="36"/>
      <c r="AF207177" s="36"/>
    </row>
    <row r="207273" spans="31:32" x14ac:dyDescent="0.25">
      <c r="AE207273" s="34"/>
      <c r="AF207273" s="34"/>
    </row>
    <row r="207281" spans="31:32" x14ac:dyDescent="0.25">
      <c r="AE207281" s="36"/>
      <c r="AF207281" s="36"/>
    </row>
    <row r="207377" spans="31:32" x14ac:dyDescent="0.25">
      <c r="AE207377" s="34"/>
      <c r="AF207377" s="34"/>
    </row>
    <row r="207385" spans="31:32" x14ac:dyDescent="0.25">
      <c r="AE207385" s="36"/>
      <c r="AF207385" s="36"/>
    </row>
    <row r="207481" spans="31:32" x14ac:dyDescent="0.25">
      <c r="AE207481" s="34"/>
      <c r="AF207481" s="34"/>
    </row>
    <row r="207489" spans="31:32" x14ac:dyDescent="0.25">
      <c r="AE207489" s="36"/>
      <c r="AF207489" s="36"/>
    </row>
    <row r="207585" spans="31:32" x14ac:dyDescent="0.25">
      <c r="AE207585" s="34"/>
      <c r="AF207585" s="34"/>
    </row>
    <row r="207593" spans="31:32" x14ac:dyDescent="0.25">
      <c r="AE207593" s="36"/>
      <c r="AF207593" s="36"/>
    </row>
    <row r="207689" spans="31:32" x14ac:dyDescent="0.25">
      <c r="AE207689" s="34"/>
      <c r="AF207689" s="34"/>
    </row>
    <row r="207697" spans="31:32" x14ac:dyDescent="0.25">
      <c r="AE207697" s="36"/>
      <c r="AF207697" s="36"/>
    </row>
    <row r="207793" spans="31:32" x14ac:dyDescent="0.25">
      <c r="AE207793" s="34"/>
      <c r="AF207793" s="34"/>
    </row>
    <row r="207801" spans="31:32" x14ac:dyDescent="0.25">
      <c r="AE207801" s="36"/>
      <c r="AF207801" s="36"/>
    </row>
    <row r="207897" spans="31:32" x14ac:dyDescent="0.25">
      <c r="AE207897" s="34"/>
      <c r="AF207897" s="34"/>
    </row>
    <row r="207905" spans="31:32" x14ac:dyDescent="0.25">
      <c r="AE207905" s="36"/>
      <c r="AF207905" s="36"/>
    </row>
    <row r="208001" spans="31:32" x14ac:dyDescent="0.25">
      <c r="AE208001" s="34"/>
      <c r="AF208001" s="34"/>
    </row>
    <row r="208009" spans="31:32" x14ac:dyDescent="0.25">
      <c r="AE208009" s="36"/>
      <c r="AF208009" s="36"/>
    </row>
    <row r="208105" spans="31:32" x14ac:dyDescent="0.25">
      <c r="AE208105" s="34"/>
      <c r="AF208105" s="34"/>
    </row>
    <row r="208113" spans="31:32" x14ac:dyDescent="0.25">
      <c r="AE208113" s="36"/>
      <c r="AF208113" s="36"/>
    </row>
    <row r="208209" spans="31:32" x14ac:dyDescent="0.25">
      <c r="AE208209" s="34"/>
      <c r="AF208209" s="34"/>
    </row>
    <row r="208217" spans="31:32" x14ac:dyDescent="0.25">
      <c r="AE208217" s="36"/>
      <c r="AF208217" s="36"/>
    </row>
    <row r="208313" spans="31:32" x14ac:dyDescent="0.25">
      <c r="AE208313" s="34"/>
      <c r="AF208313" s="34"/>
    </row>
    <row r="208321" spans="31:32" x14ac:dyDescent="0.25">
      <c r="AE208321" s="36"/>
      <c r="AF208321" s="36"/>
    </row>
    <row r="208417" spans="31:32" x14ac:dyDescent="0.25">
      <c r="AE208417" s="34"/>
      <c r="AF208417" s="34"/>
    </row>
    <row r="208425" spans="31:32" x14ac:dyDescent="0.25">
      <c r="AE208425" s="36"/>
      <c r="AF208425" s="36"/>
    </row>
    <row r="208521" spans="31:32" x14ac:dyDescent="0.25">
      <c r="AE208521" s="34"/>
      <c r="AF208521" s="34"/>
    </row>
    <row r="208529" spans="31:32" x14ac:dyDescent="0.25">
      <c r="AE208529" s="36"/>
      <c r="AF208529" s="36"/>
    </row>
    <row r="208625" spans="31:32" x14ac:dyDescent="0.25">
      <c r="AE208625" s="34"/>
      <c r="AF208625" s="34"/>
    </row>
    <row r="208633" spans="31:32" x14ac:dyDescent="0.25">
      <c r="AE208633" s="36"/>
      <c r="AF208633" s="36"/>
    </row>
    <row r="208729" spans="31:32" x14ac:dyDescent="0.25">
      <c r="AE208729" s="34"/>
      <c r="AF208729" s="34"/>
    </row>
    <row r="208737" spans="31:32" x14ac:dyDescent="0.25">
      <c r="AE208737" s="36"/>
      <c r="AF208737" s="36"/>
    </row>
    <row r="208833" spans="31:32" x14ac:dyDescent="0.25">
      <c r="AE208833" s="34"/>
      <c r="AF208833" s="34"/>
    </row>
    <row r="208841" spans="31:32" x14ac:dyDescent="0.25">
      <c r="AE208841" s="36"/>
      <c r="AF208841" s="36"/>
    </row>
    <row r="208937" spans="31:32" x14ac:dyDescent="0.25">
      <c r="AE208937" s="34"/>
      <c r="AF208937" s="34"/>
    </row>
    <row r="208945" spans="31:32" x14ac:dyDescent="0.25">
      <c r="AE208945" s="36"/>
      <c r="AF208945" s="36"/>
    </row>
    <row r="209041" spans="31:32" x14ac:dyDescent="0.25">
      <c r="AE209041" s="34"/>
      <c r="AF209041" s="34"/>
    </row>
    <row r="209049" spans="31:32" x14ac:dyDescent="0.25">
      <c r="AE209049" s="36"/>
      <c r="AF209049" s="36"/>
    </row>
    <row r="209145" spans="31:32" x14ac:dyDescent="0.25">
      <c r="AE209145" s="34"/>
      <c r="AF209145" s="34"/>
    </row>
    <row r="209153" spans="31:32" x14ac:dyDescent="0.25">
      <c r="AE209153" s="36"/>
      <c r="AF209153" s="36"/>
    </row>
    <row r="209249" spans="31:32" x14ac:dyDescent="0.25">
      <c r="AE209249" s="34"/>
      <c r="AF209249" s="34"/>
    </row>
    <row r="209257" spans="31:32" x14ac:dyDescent="0.25">
      <c r="AE209257" s="36"/>
      <c r="AF209257" s="36"/>
    </row>
    <row r="209353" spans="31:32" x14ac:dyDescent="0.25">
      <c r="AE209353" s="34"/>
      <c r="AF209353" s="34"/>
    </row>
    <row r="209361" spans="31:32" x14ac:dyDescent="0.25">
      <c r="AE209361" s="36"/>
      <c r="AF209361" s="36"/>
    </row>
    <row r="209457" spans="31:32" x14ac:dyDescent="0.25">
      <c r="AE209457" s="34"/>
      <c r="AF209457" s="34"/>
    </row>
    <row r="209465" spans="31:32" x14ac:dyDescent="0.25">
      <c r="AE209465" s="36"/>
      <c r="AF209465" s="36"/>
    </row>
    <row r="209561" spans="31:32" x14ac:dyDescent="0.25">
      <c r="AE209561" s="34"/>
      <c r="AF209561" s="34"/>
    </row>
    <row r="209569" spans="31:32" x14ac:dyDescent="0.25">
      <c r="AE209569" s="36"/>
      <c r="AF209569" s="36"/>
    </row>
    <row r="209665" spans="31:32" x14ac:dyDescent="0.25">
      <c r="AE209665" s="34"/>
      <c r="AF209665" s="34"/>
    </row>
    <row r="209673" spans="31:32" x14ac:dyDescent="0.25">
      <c r="AE209673" s="36"/>
      <c r="AF209673" s="36"/>
    </row>
    <row r="209769" spans="31:32" x14ac:dyDescent="0.25">
      <c r="AE209769" s="34"/>
      <c r="AF209769" s="34"/>
    </row>
    <row r="209777" spans="31:32" x14ac:dyDescent="0.25">
      <c r="AE209777" s="36"/>
      <c r="AF209777" s="36"/>
    </row>
    <row r="209873" spans="31:32" x14ac:dyDescent="0.25">
      <c r="AE209873" s="34"/>
      <c r="AF209873" s="34"/>
    </row>
    <row r="209881" spans="31:32" x14ac:dyDescent="0.25">
      <c r="AE209881" s="36"/>
      <c r="AF209881" s="36"/>
    </row>
    <row r="209977" spans="31:32" x14ac:dyDescent="0.25">
      <c r="AE209977" s="34"/>
      <c r="AF209977" s="34"/>
    </row>
    <row r="209985" spans="31:32" x14ac:dyDescent="0.25">
      <c r="AE209985" s="36"/>
      <c r="AF209985" s="36"/>
    </row>
    <row r="210081" spans="31:32" x14ac:dyDescent="0.25">
      <c r="AE210081" s="34"/>
      <c r="AF210081" s="34"/>
    </row>
    <row r="210089" spans="31:32" x14ac:dyDescent="0.25">
      <c r="AE210089" s="36"/>
      <c r="AF210089" s="36"/>
    </row>
    <row r="210185" spans="31:32" x14ac:dyDescent="0.25">
      <c r="AE210185" s="34"/>
      <c r="AF210185" s="34"/>
    </row>
    <row r="210193" spans="31:32" x14ac:dyDescent="0.25">
      <c r="AE210193" s="36"/>
      <c r="AF210193" s="36"/>
    </row>
    <row r="210289" spans="31:32" x14ac:dyDescent="0.25">
      <c r="AE210289" s="34"/>
      <c r="AF210289" s="34"/>
    </row>
    <row r="210297" spans="31:32" x14ac:dyDescent="0.25">
      <c r="AE210297" s="36"/>
      <c r="AF210297" s="36"/>
    </row>
    <row r="210393" spans="31:32" x14ac:dyDescent="0.25">
      <c r="AE210393" s="34"/>
      <c r="AF210393" s="34"/>
    </row>
    <row r="210401" spans="31:32" x14ac:dyDescent="0.25">
      <c r="AE210401" s="36"/>
      <c r="AF210401" s="36"/>
    </row>
    <row r="210497" spans="31:32" x14ac:dyDescent="0.25">
      <c r="AE210497" s="34"/>
      <c r="AF210497" s="34"/>
    </row>
    <row r="210505" spans="31:32" x14ac:dyDescent="0.25">
      <c r="AE210505" s="36"/>
      <c r="AF210505" s="36"/>
    </row>
    <row r="210601" spans="31:32" x14ac:dyDescent="0.25">
      <c r="AE210601" s="34"/>
      <c r="AF210601" s="34"/>
    </row>
    <row r="210609" spans="31:32" x14ac:dyDescent="0.25">
      <c r="AE210609" s="36"/>
      <c r="AF210609" s="36"/>
    </row>
    <row r="210705" spans="31:32" x14ac:dyDescent="0.25">
      <c r="AE210705" s="34"/>
      <c r="AF210705" s="34"/>
    </row>
    <row r="210713" spans="31:32" x14ac:dyDescent="0.25">
      <c r="AE210713" s="36"/>
      <c r="AF210713" s="36"/>
    </row>
    <row r="210809" spans="31:32" x14ac:dyDescent="0.25">
      <c r="AE210809" s="34"/>
      <c r="AF210809" s="34"/>
    </row>
    <row r="210817" spans="31:32" x14ac:dyDescent="0.25">
      <c r="AE210817" s="36"/>
      <c r="AF210817" s="36"/>
    </row>
    <row r="210913" spans="31:32" x14ac:dyDescent="0.25">
      <c r="AE210913" s="34"/>
      <c r="AF210913" s="34"/>
    </row>
    <row r="210921" spans="31:32" x14ac:dyDescent="0.25">
      <c r="AE210921" s="36"/>
      <c r="AF210921" s="36"/>
    </row>
    <row r="211017" spans="31:32" x14ac:dyDescent="0.25">
      <c r="AE211017" s="34"/>
      <c r="AF211017" s="34"/>
    </row>
    <row r="211025" spans="31:32" x14ac:dyDescent="0.25">
      <c r="AE211025" s="36"/>
      <c r="AF211025" s="36"/>
    </row>
    <row r="211121" spans="31:32" x14ac:dyDescent="0.25">
      <c r="AE211121" s="34"/>
      <c r="AF211121" s="34"/>
    </row>
    <row r="211129" spans="31:32" x14ac:dyDescent="0.25">
      <c r="AE211129" s="36"/>
      <c r="AF211129" s="36"/>
    </row>
    <row r="211225" spans="31:32" x14ac:dyDescent="0.25">
      <c r="AE211225" s="34"/>
      <c r="AF211225" s="34"/>
    </row>
    <row r="211233" spans="31:32" x14ac:dyDescent="0.25">
      <c r="AE211233" s="36"/>
      <c r="AF211233" s="36"/>
    </row>
    <row r="211329" spans="31:32" x14ac:dyDescent="0.25">
      <c r="AE211329" s="34"/>
      <c r="AF211329" s="34"/>
    </row>
    <row r="211337" spans="31:32" x14ac:dyDescent="0.25">
      <c r="AE211337" s="36"/>
      <c r="AF211337" s="36"/>
    </row>
    <row r="211433" spans="31:32" x14ac:dyDescent="0.25">
      <c r="AE211433" s="34"/>
      <c r="AF211433" s="34"/>
    </row>
    <row r="211441" spans="31:32" x14ac:dyDescent="0.25">
      <c r="AE211441" s="36"/>
      <c r="AF211441" s="36"/>
    </row>
    <row r="211537" spans="31:32" x14ac:dyDescent="0.25">
      <c r="AE211537" s="34"/>
      <c r="AF211537" s="34"/>
    </row>
    <row r="211545" spans="31:32" x14ac:dyDescent="0.25">
      <c r="AE211545" s="36"/>
      <c r="AF211545" s="36"/>
    </row>
    <row r="211641" spans="31:32" x14ac:dyDescent="0.25">
      <c r="AE211641" s="34"/>
      <c r="AF211641" s="34"/>
    </row>
    <row r="211649" spans="31:32" x14ac:dyDescent="0.25">
      <c r="AE211649" s="36"/>
      <c r="AF211649" s="36"/>
    </row>
    <row r="211745" spans="31:32" x14ac:dyDescent="0.25">
      <c r="AE211745" s="34"/>
      <c r="AF211745" s="34"/>
    </row>
    <row r="211753" spans="31:32" x14ac:dyDescent="0.25">
      <c r="AE211753" s="36"/>
      <c r="AF211753" s="36"/>
    </row>
    <row r="211849" spans="31:32" x14ac:dyDescent="0.25">
      <c r="AE211849" s="34"/>
      <c r="AF211849" s="34"/>
    </row>
    <row r="211857" spans="31:32" x14ac:dyDescent="0.25">
      <c r="AE211857" s="36"/>
      <c r="AF211857" s="36"/>
    </row>
    <row r="211953" spans="31:32" x14ac:dyDescent="0.25">
      <c r="AE211953" s="34"/>
      <c r="AF211953" s="34"/>
    </row>
    <row r="211961" spans="31:32" x14ac:dyDescent="0.25">
      <c r="AE211961" s="36"/>
      <c r="AF211961" s="36"/>
    </row>
    <row r="212057" spans="31:32" x14ac:dyDescent="0.25">
      <c r="AE212057" s="34"/>
      <c r="AF212057" s="34"/>
    </row>
    <row r="212065" spans="31:32" x14ac:dyDescent="0.25">
      <c r="AE212065" s="36"/>
      <c r="AF212065" s="36"/>
    </row>
    <row r="212161" spans="31:32" x14ac:dyDescent="0.25">
      <c r="AE212161" s="34"/>
      <c r="AF212161" s="34"/>
    </row>
    <row r="212169" spans="31:32" x14ac:dyDescent="0.25">
      <c r="AE212169" s="36"/>
      <c r="AF212169" s="36"/>
    </row>
    <row r="212265" spans="31:32" x14ac:dyDescent="0.25">
      <c r="AE212265" s="34"/>
      <c r="AF212265" s="34"/>
    </row>
    <row r="212273" spans="31:32" x14ac:dyDescent="0.25">
      <c r="AE212273" s="36"/>
      <c r="AF212273" s="36"/>
    </row>
    <row r="212369" spans="31:32" x14ac:dyDescent="0.25">
      <c r="AE212369" s="34"/>
      <c r="AF212369" s="34"/>
    </row>
    <row r="212377" spans="31:32" x14ac:dyDescent="0.25">
      <c r="AE212377" s="36"/>
      <c r="AF212377" s="36"/>
    </row>
    <row r="212473" spans="31:32" x14ac:dyDescent="0.25">
      <c r="AE212473" s="34"/>
      <c r="AF212473" s="34"/>
    </row>
    <row r="212481" spans="31:32" x14ac:dyDescent="0.25">
      <c r="AE212481" s="36"/>
      <c r="AF212481" s="36"/>
    </row>
    <row r="212577" spans="31:32" x14ac:dyDescent="0.25">
      <c r="AE212577" s="34"/>
      <c r="AF212577" s="34"/>
    </row>
    <row r="212585" spans="31:32" x14ac:dyDescent="0.25">
      <c r="AE212585" s="36"/>
      <c r="AF212585" s="36"/>
    </row>
    <row r="212681" spans="31:32" x14ac:dyDescent="0.25">
      <c r="AE212681" s="34"/>
      <c r="AF212681" s="34"/>
    </row>
    <row r="212689" spans="31:32" x14ac:dyDescent="0.25">
      <c r="AE212689" s="36"/>
      <c r="AF212689" s="36"/>
    </row>
    <row r="212785" spans="31:32" x14ac:dyDescent="0.25">
      <c r="AE212785" s="34"/>
      <c r="AF212785" s="34"/>
    </row>
    <row r="212793" spans="31:32" x14ac:dyDescent="0.25">
      <c r="AE212793" s="36"/>
      <c r="AF212793" s="36"/>
    </row>
    <row r="212889" spans="31:32" x14ac:dyDescent="0.25">
      <c r="AE212889" s="34"/>
      <c r="AF212889" s="34"/>
    </row>
    <row r="212897" spans="31:32" x14ac:dyDescent="0.25">
      <c r="AE212897" s="36"/>
      <c r="AF212897" s="36"/>
    </row>
    <row r="212993" spans="31:32" x14ac:dyDescent="0.25">
      <c r="AE212993" s="34"/>
      <c r="AF212993" s="34"/>
    </row>
    <row r="213001" spans="31:32" x14ac:dyDescent="0.25">
      <c r="AE213001" s="36"/>
      <c r="AF213001" s="36"/>
    </row>
    <row r="213097" spans="31:32" x14ac:dyDescent="0.25">
      <c r="AE213097" s="34"/>
      <c r="AF213097" s="34"/>
    </row>
    <row r="213105" spans="31:32" x14ac:dyDescent="0.25">
      <c r="AE213105" s="36"/>
      <c r="AF213105" s="36"/>
    </row>
    <row r="213201" spans="31:32" x14ac:dyDescent="0.25">
      <c r="AE213201" s="34"/>
      <c r="AF213201" s="34"/>
    </row>
    <row r="213209" spans="31:32" x14ac:dyDescent="0.25">
      <c r="AE213209" s="36"/>
      <c r="AF213209" s="36"/>
    </row>
    <row r="213305" spans="31:32" x14ac:dyDescent="0.25">
      <c r="AE213305" s="34"/>
      <c r="AF213305" s="34"/>
    </row>
    <row r="213313" spans="31:32" x14ac:dyDescent="0.25">
      <c r="AE213313" s="36"/>
      <c r="AF213313" s="36"/>
    </row>
    <row r="213409" spans="31:32" x14ac:dyDescent="0.25">
      <c r="AE213409" s="34"/>
      <c r="AF213409" s="34"/>
    </row>
    <row r="213417" spans="31:32" x14ac:dyDescent="0.25">
      <c r="AE213417" s="36"/>
      <c r="AF213417" s="36"/>
    </row>
    <row r="213513" spans="31:32" x14ac:dyDescent="0.25">
      <c r="AE213513" s="34"/>
      <c r="AF213513" s="34"/>
    </row>
    <row r="213521" spans="31:32" x14ac:dyDescent="0.25">
      <c r="AE213521" s="36"/>
      <c r="AF213521" s="36"/>
    </row>
    <row r="213617" spans="31:32" x14ac:dyDescent="0.25">
      <c r="AE213617" s="34"/>
      <c r="AF213617" s="34"/>
    </row>
    <row r="213625" spans="31:32" x14ac:dyDescent="0.25">
      <c r="AE213625" s="36"/>
      <c r="AF213625" s="36"/>
    </row>
    <row r="213721" spans="31:32" x14ac:dyDescent="0.25">
      <c r="AE213721" s="34"/>
      <c r="AF213721" s="34"/>
    </row>
    <row r="213729" spans="31:32" x14ac:dyDescent="0.25">
      <c r="AE213729" s="36"/>
      <c r="AF213729" s="36"/>
    </row>
    <row r="213825" spans="31:32" x14ac:dyDescent="0.25">
      <c r="AE213825" s="34"/>
      <c r="AF213825" s="34"/>
    </row>
    <row r="213833" spans="31:32" x14ac:dyDescent="0.25">
      <c r="AE213833" s="36"/>
      <c r="AF213833" s="36"/>
    </row>
    <row r="213929" spans="31:32" x14ac:dyDescent="0.25">
      <c r="AE213929" s="34"/>
      <c r="AF213929" s="34"/>
    </row>
    <row r="213937" spans="31:32" x14ac:dyDescent="0.25">
      <c r="AE213937" s="36"/>
      <c r="AF213937" s="36"/>
    </row>
    <row r="214033" spans="31:32" x14ac:dyDescent="0.25">
      <c r="AE214033" s="34"/>
      <c r="AF214033" s="34"/>
    </row>
    <row r="214041" spans="31:32" x14ac:dyDescent="0.25">
      <c r="AE214041" s="36"/>
      <c r="AF214041" s="36"/>
    </row>
    <row r="214137" spans="31:32" x14ac:dyDescent="0.25">
      <c r="AE214137" s="34"/>
      <c r="AF214137" s="34"/>
    </row>
    <row r="214145" spans="31:32" x14ac:dyDescent="0.25">
      <c r="AE214145" s="36"/>
      <c r="AF214145" s="36"/>
    </row>
    <row r="214241" spans="31:32" x14ac:dyDescent="0.25">
      <c r="AE214241" s="34"/>
      <c r="AF214241" s="34"/>
    </row>
    <row r="214249" spans="31:32" x14ac:dyDescent="0.25">
      <c r="AE214249" s="36"/>
      <c r="AF214249" s="36"/>
    </row>
    <row r="214345" spans="31:32" x14ac:dyDescent="0.25">
      <c r="AE214345" s="34"/>
      <c r="AF214345" s="34"/>
    </row>
    <row r="214353" spans="31:32" x14ac:dyDescent="0.25">
      <c r="AE214353" s="36"/>
      <c r="AF214353" s="36"/>
    </row>
    <row r="214449" spans="31:32" x14ac:dyDescent="0.25">
      <c r="AE214449" s="34"/>
      <c r="AF214449" s="34"/>
    </row>
    <row r="214457" spans="31:32" x14ac:dyDescent="0.25">
      <c r="AE214457" s="36"/>
      <c r="AF214457" s="36"/>
    </row>
    <row r="214553" spans="31:32" x14ac:dyDescent="0.25">
      <c r="AE214553" s="34"/>
      <c r="AF214553" s="34"/>
    </row>
    <row r="214561" spans="31:32" x14ac:dyDescent="0.25">
      <c r="AE214561" s="36"/>
      <c r="AF214561" s="36"/>
    </row>
    <row r="214657" spans="31:32" x14ac:dyDescent="0.25">
      <c r="AE214657" s="34"/>
      <c r="AF214657" s="34"/>
    </row>
    <row r="214665" spans="31:32" x14ac:dyDescent="0.25">
      <c r="AE214665" s="36"/>
      <c r="AF214665" s="36"/>
    </row>
    <row r="214761" spans="31:32" x14ac:dyDescent="0.25">
      <c r="AE214761" s="34"/>
      <c r="AF214761" s="34"/>
    </row>
    <row r="214769" spans="31:32" x14ac:dyDescent="0.25">
      <c r="AE214769" s="36"/>
      <c r="AF214769" s="36"/>
    </row>
    <row r="214865" spans="31:32" x14ac:dyDescent="0.25">
      <c r="AE214865" s="34"/>
      <c r="AF214865" s="34"/>
    </row>
    <row r="214873" spans="31:32" x14ac:dyDescent="0.25">
      <c r="AE214873" s="36"/>
      <c r="AF214873" s="36"/>
    </row>
    <row r="214969" spans="31:32" x14ac:dyDescent="0.25">
      <c r="AE214969" s="34"/>
      <c r="AF214969" s="34"/>
    </row>
    <row r="214977" spans="31:32" x14ac:dyDescent="0.25">
      <c r="AE214977" s="36"/>
      <c r="AF214977" s="36"/>
    </row>
    <row r="215073" spans="31:32" x14ac:dyDescent="0.25">
      <c r="AE215073" s="34"/>
      <c r="AF215073" s="34"/>
    </row>
    <row r="215081" spans="31:32" x14ac:dyDescent="0.25">
      <c r="AE215081" s="36"/>
      <c r="AF215081" s="36"/>
    </row>
    <row r="215177" spans="31:32" x14ac:dyDescent="0.25">
      <c r="AE215177" s="34"/>
      <c r="AF215177" s="34"/>
    </row>
    <row r="215185" spans="31:32" x14ac:dyDescent="0.25">
      <c r="AE215185" s="36"/>
      <c r="AF215185" s="36"/>
    </row>
    <row r="215281" spans="31:32" x14ac:dyDescent="0.25">
      <c r="AE215281" s="34"/>
      <c r="AF215281" s="34"/>
    </row>
    <row r="215289" spans="31:32" x14ac:dyDescent="0.25">
      <c r="AE215289" s="36"/>
      <c r="AF215289" s="36"/>
    </row>
    <row r="215385" spans="31:32" x14ac:dyDescent="0.25">
      <c r="AE215385" s="34"/>
      <c r="AF215385" s="34"/>
    </row>
    <row r="215393" spans="31:32" x14ac:dyDescent="0.25">
      <c r="AE215393" s="36"/>
      <c r="AF215393" s="36"/>
    </row>
    <row r="215489" spans="31:32" x14ac:dyDescent="0.25">
      <c r="AE215489" s="34"/>
      <c r="AF215489" s="34"/>
    </row>
    <row r="215497" spans="31:32" x14ac:dyDescent="0.25">
      <c r="AE215497" s="36"/>
      <c r="AF215497" s="36"/>
    </row>
    <row r="215593" spans="31:32" x14ac:dyDescent="0.25">
      <c r="AE215593" s="34"/>
      <c r="AF215593" s="34"/>
    </row>
    <row r="215601" spans="31:32" x14ac:dyDescent="0.25">
      <c r="AE215601" s="36"/>
      <c r="AF215601" s="36"/>
    </row>
    <row r="215697" spans="31:32" x14ac:dyDescent="0.25">
      <c r="AE215697" s="34"/>
      <c r="AF215697" s="34"/>
    </row>
    <row r="215705" spans="31:32" x14ac:dyDescent="0.25">
      <c r="AE215705" s="36"/>
      <c r="AF215705" s="36"/>
    </row>
    <row r="215801" spans="31:32" x14ac:dyDescent="0.25">
      <c r="AE215801" s="34"/>
      <c r="AF215801" s="34"/>
    </row>
    <row r="215809" spans="31:32" x14ac:dyDescent="0.25">
      <c r="AE215809" s="36"/>
      <c r="AF215809" s="36"/>
    </row>
    <row r="215905" spans="31:32" x14ac:dyDescent="0.25">
      <c r="AE215905" s="34"/>
      <c r="AF215905" s="34"/>
    </row>
    <row r="215913" spans="31:32" x14ac:dyDescent="0.25">
      <c r="AE215913" s="36"/>
      <c r="AF215913" s="36"/>
    </row>
    <row r="216009" spans="31:32" x14ac:dyDescent="0.25">
      <c r="AE216009" s="34"/>
      <c r="AF216009" s="34"/>
    </row>
    <row r="216017" spans="31:32" x14ac:dyDescent="0.25">
      <c r="AE216017" s="36"/>
      <c r="AF216017" s="36"/>
    </row>
    <row r="216113" spans="31:32" x14ac:dyDescent="0.25">
      <c r="AE216113" s="34"/>
      <c r="AF216113" s="34"/>
    </row>
    <row r="216121" spans="31:32" x14ac:dyDescent="0.25">
      <c r="AE216121" s="36"/>
      <c r="AF216121" s="36"/>
    </row>
    <row r="216217" spans="31:32" x14ac:dyDescent="0.25">
      <c r="AE216217" s="34"/>
      <c r="AF216217" s="34"/>
    </row>
    <row r="216225" spans="31:32" x14ac:dyDescent="0.25">
      <c r="AE216225" s="36"/>
      <c r="AF216225" s="36"/>
    </row>
    <row r="216321" spans="31:32" x14ac:dyDescent="0.25">
      <c r="AE216321" s="34"/>
      <c r="AF216321" s="34"/>
    </row>
    <row r="216329" spans="31:32" x14ac:dyDescent="0.25">
      <c r="AE216329" s="36"/>
      <c r="AF216329" s="36"/>
    </row>
    <row r="216425" spans="31:32" x14ac:dyDescent="0.25">
      <c r="AE216425" s="34"/>
      <c r="AF216425" s="34"/>
    </row>
    <row r="216433" spans="31:32" x14ac:dyDescent="0.25">
      <c r="AE216433" s="36"/>
      <c r="AF216433" s="36"/>
    </row>
    <row r="216529" spans="31:32" x14ac:dyDescent="0.25">
      <c r="AE216529" s="34"/>
      <c r="AF216529" s="34"/>
    </row>
    <row r="216537" spans="31:32" x14ac:dyDescent="0.25">
      <c r="AE216537" s="36"/>
      <c r="AF216537" s="36"/>
    </row>
    <row r="216633" spans="31:32" x14ac:dyDescent="0.25">
      <c r="AE216633" s="34"/>
      <c r="AF216633" s="34"/>
    </row>
    <row r="216641" spans="31:32" x14ac:dyDescent="0.25">
      <c r="AE216641" s="36"/>
      <c r="AF216641" s="36"/>
    </row>
    <row r="216737" spans="31:32" x14ac:dyDescent="0.25">
      <c r="AE216737" s="34"/>
      <c r="AF216737" s="34"/>
    </row>
    <row r="216745" spans="31:32" x14ac:dyDescent="0.25">
      <c r="AE216745" s="36"/>
      <c r="AF216745" s="36"/>
    </row>
    <row r="216841" spans="31:32" x14ac:dyDescent="0.25">
      <c r="AE216841" s="34"/>
      <c r="AF216841" s="34"/>
    </row>
    <row r="216849" spans="31:32" x14ac:dyDescent="0.25">
      <c r="AE216849" s="36"/>
      <c r="AF216849" s="36"/>
    </row>
    <row r="216945" spans="31:32" x14ac:dyDescent="0.25">
      <c r="AE216945" s="34"/>
      <c r="AF216945" s="34"/>
    </row>
    <row r="216953" spans="31:32" x14ac:dyDescent="0.25">
      <c r="AE216953" s="36"/>
      <c r="AF216953" s="36"/>
    </row>
    <row r="217049" spans="31:32" x14ac:dyDescent="0.25">
      <c r="AE217049" s="34"/>
      <c r="AF217049" s="34"/>
    </row>
    <row r="217057" spans="31:32" x14ac:dyDescent="0.25">
      <c r="AE217057" s="36"/>
      <c r="AF217057" s="36"/>
    </row>
    <row r="217153" spans="31:32" x14ac:dyDescent="0.25">
      <c r="AE217153" s="34"/>
      <c r="AF217153" s="34"/>
    </row>
    <row r="217161" spans="31:32" x14ac:dyDescent="0.25">
      <c r="AE217161" s="36"/>
      <c r="AF217161" s="36"/>
    </row>
    <row r="217257" spans="31:32" x14ac:dyDescent="0.25">
      <c r="AE217257" s="34"/>
      <c r="AF217257" s="34"/>
    </row>
    <row r="217265" spans="31:32" x14ac:dyDescent="0.25">
      <c r="AE217265" s="36"/>
      <c r="AF217265" s="36"/>
    </row>
    <row r="217361" spans="31:32" x14ac:dyDescent="0.25">
      <c r="AE217361" s="34"/>
      <c r="AF217361" s="34"/>
    </row>
    <row r="217369" spans="31:32" x14ac:dyDescent="0.25">
      <c r="AE217369" s="36"/>
      <c r="AF217369" s="36"/>
    </row>
    <row r="217465" spans="31:32" x14ac:dyDescent="0.25">
      <c r="AE217465" s="34"/>
      <c r="AF217465" s="34"/>
    </row>
    <row r="217473" spans="31:32" x14ac:dyDescent="0.25">
      <c r="AE217473" s="36"/>
      <c r="AF217473" s="36"/>
    </row>
    <row r="217569" spans="31:32" x14ac:dyDescent="0.25">
      <c r="AE217569" s="34"/>
      <c r="AF217569" s="34"/>
    </row>
    <row r="217577" spans="31:32" x14ac:dyDescent="0.25">
      <c r="AE217577" s="36"/>
      <c r="AF217577" s="36"/>
    </row>
    <row r="217673" spans="31:32" x14ac:dyDescent="0.25">
      <c r="AE217673" s="34"/>
      <c r="AF217673" s="34"/>
    </row>
    <row r="217681" spans="31:32" x14ac:dyDescent="0.25">
      <c r="AE217681" s="36"/>
      <c r="AF217681" s="36"/>
    </row>
    <row r="217777" spans="31:32" x14ac:dyDescent="0.25">
      <c r="AE217777" s="34"/>
      <c r="AF217777" s="34"/>
    </row>
    <row r="217785" spans="31:32" x14ac:dyDescent="0.25">
      <c r="AE217785" s="36"/>
      <c r="AF217785" s="36"/>
    </row>
    <row r="217881" spans="31:32" x14ac:dyDescent="0.25">
      <c r="AE217881" s="34"/>
      <c r="AF217881" s="34"/>
    </row>
    <row r="217889" spans="31:32" x14ac:dyDescent="0.25">
      <c r="AE217889" s="36"/>
      <c r="AF217889" s="36"/>
    </row>
    <row r="217985" spans="31:32" x14ac:dyDescent="0.25">
      <c r="AE217985" s="34"/>
      <c r="AF217985" s="34"/>
    </row>
    <row r="217993" spans="31:32" x14ac:dyDescent="0.25">
      <c r="AE217993" s="36"/>
      <c r="AF217993" s="36"/>
    </row>
    <row r="218089" spans="31:32" x14ac:dyDescent="0.25">
      <c r="AE218089" s="34"/>
      <c r="AF218089" s="34"/>
    </row>
    <row r="218097" spans="31:32" x14ac:dyDescent="0.25">
      <c r="AE218097" s="36"/>
      <c r="AF218097" s="36"/>
    </row>
    <row r="218193" spans="31:32" x14ac:dyDescent="0.25">
      <c r="AE218193" s="34"/>
      <c r="AF218193" s="34"/>
    </row>
    <row r="218201" spans="31:32" x14ac:dyDescent="0.25">
      <c r="AE218201" s="36"/>
      <c r="AF218201" s="36"/>
    </row>
    <row r="218297" spans="31:32" x14ac:dyDescent="0.25">
      <c r="AE218297" s="34"/>
      <c r="AF218297" s="34"/>
    </row>
    <row r="218305" spans="31:32" x14ac:dyDescent="0.25">
      <c r="AE218305" s="36"/>
      <c r="AF218305" s="36"/>
    </row>
    <row r="218401" spans="31:32" x14ac:dyDescent="0.25">
      <c r="AE218401" s="34"/>
      <c r="AF218401" s="34"/>
    </row>
    <row r="218409" spans="31:32" x14ac:dyDescent="0.25">
      <c r="AE218409" s="36"/>
      <c r="AF218409" s="36"/>
    </row>
    <row r="218505" spans="31:32" x14ac:dyDescent="0.25">
      <c r="AE218505" s="34"/>
      <c r="AF218505" s="34"/>
    </row>
    <row r="218513" spans="31:32" x14ac:dyDescent="0.25">
      <c r="AE218513" s="36"/>
      <c r="AF218513" s="36"/>
    </row>
    <row r="218609" spans="31:32" x14ac:dyDescent="0.25">
      <c r="AE218609" s="34"/>
      <c r="AF218609" s="34"/>
    </row>
    <row r="218617" spans="31:32" x14ac:dyDescent="0.25">
      <c r="AE218617" s="36"/>
      <c r="AF218617" s="36"/>
    </row>
    <row r="218713" spans="31:32" x14ac:dyDescent="0.25">
      <c r="AE218713" s="34"/>
      <c r="AF218713" s="34"/>
    </row>
    <row r="218721" spans="31:32" x14ac:dyDescent="0.25">
      <c r="AE218721" s="36"/>
      <c r="AF218721" s="36"/>
    </row>
    <row r="218817" spans="31:32" x14ac:dyDescent="0.25">
      <c r="AE218817" s="34"/>
      <c r="AF218817" s="34"/>
    </row>
    <row r="218825" spans="31:32" x14ac:dyDescent="0.25">
      <c r="AE218825" s="36"/>
      <c r="AF218825" s="36"/>
    </row>
    <row r="218921" spans="31:32" x14ac:dyDescent="0.25">
      <c r="AE218921" s="34"/>
      <c r="AF218921" s="34"/>
    </row>
    <row r="218929" spans="31:32" x14ac:dyDescent="0.25">
      <c r="AE218929" s="36"/>
      <c r="AF218929" s="36"/>
    </row>
    <row r="219025" spans="31:32" x14ac:dyDescent="0.25">
      <c r="AE219025" s="34"/>
      <c r="AF219025" s="34"/>
    </row>
    <row r="219033" spans="31:32" x14ac:dyDescent="0.25">
      <c r="AE219033" s="36"/>
      <c r="AF219033" s="36"/>
    </row>
    <row r="219129" spans="31:32" x14ac:dyDescent="0.25">
      <c r="AE219129" s="34"/>
      <c r="AF219129" s="34"/>
    </row>
    <row r="219137" spans="31:32" x14ac:dyDescent="0.25">
      <c r="AE219137" s="36"/>
      <c r="AF219137" s="36"/>
    </row>
    <row r="219233" spans="31:32" x14ac:dyDescent="0.25">
      <c r="AE219233" s="34"/>
      <c r="AF219233" s="34"/>
    </row>
    <row r="219241" spans="31:32" x14ac:dyDescent="0.25">
      <c r="AE219241" s="36"/>
      <c r="AF219241" s="36"/>
    </row>
    <row r="219337" spans="31:32" x14ac:dyDescent="0.25">
      <c r="AE219337" s="34"/>
      <c r="AF219337" s="34"/>
    </row>
    <row r="219345" spans="31:32" x14ac:dyDescent="0.25">
      <c r="AE219345" s="36"/>
      <c r="AF219345" s="36"/>
    </row>
    <row r="219441" spans="31:32" x14ac:dyDescent="0.25">
      <c r="AE219441" s="34"/>
      <c r="AF219441" s="34"/>
    </row>
    <row r="219449" spans="31:32" x14ac:dyDescent="0.25">
      <c r="AE219449" s="36"/>
      <c r="AF219449" s="36"/>
    </row>
    <row r="219545" spans="31:32" x14ac:dyDescent="0.25">
      <c r="AE219545" s="34"/>
      <c r="AF219545" s="34"/>
    </row>
    <row r="219553" spans="31:32" x14ac:dyDescent="0.25">
      <c r="AE219553" s="36"/>
      <c r="AF219553" s="36"/>
    </row>
    <row r="219649" spans="31:32" x14ac:dyDescent="0.25">
      <c r="AE219649" s="34"/>
      <c r="AF219649" s="34"/>
    </row>
    <row r="219657" spans="31:32" x14ac:dyDescent="0.25">
      <c r="AE219657" s="36"/>
      <c r="AF219657" s="36"/>
    </row>
    <row r="219753" spans="31:32" x14ac:dyDescent="0.25">
      <c r="AE219753" s="34"/>
      <c r="AF219753" s="34"/>
    </row>
    <row r="219761" spans="31:32" x14ac:dyDescent="0.25">
      <c r="AE219761" s="36"/>
      <c r="AF219761" s="36"/>
    </row>
    <row r="219857" spans="31:32" x14ac:dyDescent="0.25">
      <c r="AE219857" s="34"/>
      <c r="AF219857" s="34"/>
    </row>
    <row r="219865" spans="31:32" x14ac:dyDescent="0.25">
      <c r="AE219865" s="36"/>
      <c r="AF219865" s="36"/>
    </row>
    <row r="219961" spans="31:32" x14ac:dyDescent="0.25">
      <c r="AE219961" s="34"/>
      <c r="AF219961" s="34"/>
    </row>
    <row r="219969" spans="31:32" x14ac:dyDescent="0.25">
      <c r="AE219969" s="36"/>
      <c r="AF219969" s="36"/>
    </row>
    <row r="220065" spans="31:32" x14ac:dyDescent="0.25">
      <c r="AE220065" s="34"/>
      <c r="AF220065" s="34"/>
    </row>
    <row r="220073" spans="31:32" x14ac:dyDescent="0.25">
      <c r="AE220073" s="36"/>
      <c r="AF220073" s="36"/>
    </row>
    <row r="220169" spans="31:32" x14ac:dyDescent="0.25">
      <c r="AE220169" s="34"/>
      <c r="AF220169" s="34"/>
    </row>
    <row r="220177" spans="31:32" x14ac:dyDescent="0.25">
      <c r="AE220177" s="36"/>
      <c r="AF220177" s="36"/>
    </row>
    <row r="220273" spans="31:32" x14ac:dyDescent="0.25">
      <c r="AE220273" s="34"/>
      <c r="AF220273" s="34"/>
    </row>
    <row r="220281" spans="31:32" x14ac:dyDescent="0.25">
      <c r="AE220281" s="36"/>
      <c r="AF220281" s="36"/>
    </row>
    <row r="220377" spans="31:32" x14ac:dyDescent="0.25">
      <c r="AE220377" s="34"/>
      <c r="AF220377" s="34"/>
    </row>
    <row r="220385" spans="31:32" x14ac:dyDescent="0.25">
      <c r="AE220385" s="36"/>
      <c r="AF220385" s="36"/>
    </row>
    <row r="220481" spans="31:32" x14ac:dyDescent="0.25">
      <c r="AE220481" s="34"/>
      <c r="AF220481" s="34"/>
    </row>
    <row r="220489" spans="31:32" x14ac:dyDescent="0.25">
      <c r="AE220489" s="36"/>
      <c r="AF220489" s="36"/>
    </row>
    <row r="220585" spans="31:32" x14ac:dyDescent="0.25">
      <c r="AE220585" s="34"/>
      <c r="AF220585" s="34"/>
    </row>
    <row r="220593" spans="31:32" x14ac:dyDescent="0.25">
      <c r="AE220593" s="36"/>
      <c r="AF220593" s="36"/>
    </row>
    <row r="220689" spans="31:32" x14ac:dyDescent="0.25">
      <c r="AE220689" s="34"/>
      <c r="AF220689" s="34"/>
    </row>
    <row r="220697" spans="31:32" x14ac:dyDescent="0.25">
      <c r="AE220697" s="36"/>
      <c r="AF220697" s="36"/>
    </row>
    <row r="220793" spans="31:32" x14ac:dyDescent="0.25">
      <c r="AE220793" s="34"/>
      <c r="AF220793" s="34"/>
    </row>
    <row r="220801" spans="31:32" x14ac:dyDescent="0.25">
      <c r="AE220801" s="36"/>
      <c r="AF220801" s="36"/>
    </row>
    <row r="220897" spans="31:32" x14ac:dyDescent="0.25">
      <c r="AE220897" s="34"/>
      <c r="AF220897" s="34"/>
    </row>
    <row r="220905" spans="31:32" x14ac:dyDescent="0.25">
      <c r="AE220905" s="36"/>
      <c r="AF220905" s="36"/>
    </row>
    <row r="221001" spans="31:32" x14ac:dyDescent="0.25">
      <c r="AE221001" s="34"/>
      <c r="AF221001" s="34"/>
    </row>
    <row r="221009" spans="31:32" x14ac:dyDescent="0.25">
      <c r="AE221009" s="36"/>
      <c r="AF221009" s="36"/>
    </row>
    <row r="221105" spans="31:32" x14ac:dyDescent="0.25">
      <c r="AE221105" s="34"/>
      <c r="AF221105" s="34"/>
    </row>
    <row r="221113" spans="31:32" x14ac:dyDescent="0.25">
      <c r="AE221113" s="36"/>
      <c r="AF221113" s="36"/>
    </row>
    <row r="221209" spans="31:32" x14ac:dyDescent="0.25">
      <c r="AE221209" s="34"/>
      <c r="AF221209" s="34"/>
    </row>
    <row r="221217" spans="31:32" x14ac:dyDescent="0.25">
      <c r="AE221217" s="36"/>
      <c r="AF221217" s="36"/>
    </row>
    <row r="221313" spans="31:32" x14ac:dyDescent="0.25">
      <c r="AE221313" s="34"/>
      <c r="AF221313" s="34"/>
    </row>
    <row r="221321" spans="31:32" x14ac:dyDescent="0.25">
      <c r="AE221321" s="36"/>
      <c r="AF221321" s="36"/>
    </row>
    <row r="221417" spans="31:32" x14ac:dyDescent="0.25">
      <c r="AE221417" s="34"/>
      <c r="AF221417" s="34"/>
    </row>
    <row r="221425" spans="31:32" x14ac:dyDescent="0.25">
      <c r="AE221425" s="36"/>
      <c r="AF221425" s="36"/>
    </row>
    <row r="221521" spans="31:32" x14ac:dyDescent="0.25">
      <c r="AE221521" s="34"/>
      <c r="AF221521" s="34"/>
    </row>
    <row r="221529" spans="31:32" x14ac:dyDescent="0.25">
      <c r="AE221529" s="36"/>
      <c r="AF221529" s="36"/>
    </row>
    <row r="221625" spans="31:32" x14ac:dyDescent="0.25">
      <c r="AE221625" s="34"/>
      <c r="AF221625" s="34"/>
    </row>
    <row r="221633" spans="31:32" x14ac:dyDescent="0.25">
      <c r="AE221633" s="36"/>
      <c r="AF221633" s="36"/>
    </row>
    <row r="221729" spans="31:32" x14ac:dyDescent="0.25">
      <c r="AE221729" s="34"/>
      <c r="AF221729" s="34"/>
    </row>
    <row r="221737" spans="31:32" x14ac:dyDescent="0.25">
      <c r="AE221737" s="36"/>
      <c r="AF221737" s="36"/>
    </row>
    <row r="221833" spans="31:32" x14ac:dyDescent="0.25">
      <c r="AE221833" s="34"/>
      <c r="AF221833" s="34"/>
    </row>
    <row r="221841" spans="31:32" x14ac:dyDescent="0.25">
      <c r="AE221841" s="36"/>
      <c r="AF221841" s="36"/>
    </row>
    <row r="221937" spans="31:32" x14ac:dyDescent="0.25">
      <c r="AE221937" s="34"/>
      <c r="AF221937" s="34"/>
    </row>
    <row r="221945" spans="31:32" x14ac:dyDescent="0.25">
      <c r="AE221945" s="36"/>
      <c r="AF221945" s="36"/>
    </row>
    <row r="222041" spans="31:32" x14ac:dyDescent="0.25">
      <c r="AE222041" s="34"/>
      <c r="AF222041" s="34"/>
    </row>
    <row r="222049" spans="31:32" x14ac:dyDescent="0.25">
      <c r="AE222049" s="36"/>
      <c r="AF222049" s="36"/>
    </row>
    <row r="222145" spans="31:32" x14ac:dyDescent="0.25">
      <c r="AE222145" s="34"/>
      <c r="AF222145" s="34"/>
    </row>
    <row r="222153" spans="31:32" x14ac:dyDescent="0.25">
      <c r="AE222153" s="36"/>
      <c r="AF222153" s="36"/>
    </row>
    <row r="222249" spans="31:32" x14ac:dyDescent="0.25">
      <c r="AE222249" s="34"/>
      <c r="AF222249" s="34"/>
    </row>
    <row r="222257" spans="31:32" x14ac:dyDescent="0.25">
      <c r="AE222257" s="36"/>
      <c r="AF222257" s="36"/>
    </row>
    <row r="222353" spans="31:32" x14ac:dyDescent="0.25">
      <c r="AE222353" s="34"/>
      <c r="AF222353" s="34"/>
    </row>
    <row r="222361" spans="31:32" x14ac:dyDescent="0.25">
      <c r="AE222361" s="36"/>
      <c r="AF222361" s="36"/>
    </row>
    <row r="222457" spans="31:32" x14ac:dyDescent="0.25">
      <c r="AE222457" s="34"/>
      <c r="AF222457" s="34"/>
    </row>
    <row r="222465" spans="31:32" x14ac:dyDescent="0.25">
      <c r="AE222465" s="36"/>
      <c r="AF222465" s="36"/>
    </row>
    <row r="222561" spans="31:32" x14ac:dyDescent="0.25">
      <c r="AE222561" s="34"/>
      <c r="AF222561" s="34"/>
    </row>
    <row r="222569" spans="31:32" x14ac:dyDescent="0.25">
      <c r="AE222569" s="36"/>
      <c r="AF222569" s="36"/>
    </row>
    <row r="222665" spans="31:32" x14ac:dyDescent="0.25">
      <c r="AE222665" s="34"/>
      <c r="AF222665" s="34"/>
    </row>
    <row r="222673" spans="31:32" x14ac:dyDescent="0.25">
      <c r="AE222673" s="36"/>
      <c r="AF222673" s="36"/>
    </row>
    <row r="222769" spans="31:32" x14ac:dyDescent="0.25">
      <c r="AE222769" s="34"/>
      <c r="AF222769" s="34"/>
    </row>
    <row r="222777" spans="31:32" x14ac:dyDescent="0.25">
      <c r="AE222777" s="36"/>
      <c r="AF222777" s="36"/>
    </row>
    <row r="222873" spans="31:32" x14ac:dyDescent="0.25">
      <c r="AE222873" s="34"/>
      <c r="AF222873" s="34"/>
    </row>
    <row r="222881" spans="31:32" x14ac:dyDescent="0.25">
      <c r="AE222881" s="36"/>
      <c r="AF222881" s="36"/>
    </row>
    <row r="222977" spans="31:32" x14ac:dyDescent="0.25">
      <c r="AE222977" s="34"/>
      <c r="AF222977" s="34"/>
    </row>
    <row r="222985" spans="31:32" x14ac:dyDescent="0.25">
      <c r="AE222985" s="36"/>
      <c r="AF222985" s="36"/>
    </row>
    <row r="223081" spans="31:32" x14ac:dyDescent="0.25">
      <c r="AE223081" s="34"/>
      <c r="AF223081" s="34"/>
    </row>
    <row r="223089" spans="31:32" x14ac:dyDescent="0.25">
      <c r="AE223089" s="36"/>
      <c r="AF223089" s="36"/>
    </row>
    <row r="223185" spans="31:32" x14ac:dyDescent="0.25">
      <c r="AE223185" s="34"/>
      <c r="AF223185" s="34"/>
    </row>
    <row r="223193" spans="31:32" x14ac:dyDescent="0.25">
      <c r="AE223193" s="36"/>
      <c r="AF223193" s="36"/>
    </row>
    <row r="223289" spans="31:32" x14ac:dyDescent="0.25">
      <c r="AE223289" s="34"/>
      <c r="AF223289" s="34"/>
    </row>
    <row r="223297" spans="31:32" x14ac:dyDescent="0.25">
      <c r="AE223297" s="36"/>
      <c r="AF223297" s="36"/>
    </row>
    <row r="223393" spans="31:32" x14ac:dyDescent="0.25">
      <c r="AE223393" s="34"/>
      <c r="AF223393" s="34"/>
    </row>
    <row r="223401" spans="31:32" x14ac:dyDescent="0.25">
      <c r="AE223401" s="36"/>
      <c r="AF223401" s="36"/>
    </row>
    <row r="223497" spans="31:32" x14ac:dyDescent="0.25">
      <c r="AE223497" s="34"/>
      <c r="AF223497" s="34"/>
    </row>
    <row r="223505" spans="31:32" x14ac:dyDescent="0.25">
      <c r="AE223505" s="36"/>
      <c r="AF223505" s="36"/>
    </row>
    <row r="223601" spans="31:32" x14ac:dyDescent="0.25">
      <c r="AE223601" s="34"/>
      <c r="AF223601" s="34"/>
    </row>
    <row r="223609" spans="31:32" x14ac:dyDescent="0.25">
      <c r="AE223609" s="36"/>
      <c r="AF223609" s="36"/>
    </row>
    <row r="223705" spans="31:32" x14ac:dyDescent="0.25">
      <c r="AE223705" s="34"/>
      <c r="AF223705" s="34"/>
    </row>
    <row r="223713" spans="31:32" x14ac:dyDescent="0.25">
      <c r="AE223713" s="36"/>
      <c r="AF223713" s="36"/>
    </row>
    <row r="223809" spans="31:32" x14ac:dyDescent="0.25">
      <c r="AE223809" s="34"/>
      <c r="AF223809" s="34"/>
    </row>
    <row r="223817" spans="31:32" x14ac:dyDescent="0.25">
      <c r="AE223817" s="36"/>
      <c r="AF223817" s="36"/>
    </row>
    <row r="223913" spans="31:32" x14ac:dyDescent="0.25">
      <c r="AE223913" s="34"/>
      <c r="AF223913" s="34"/>
    </row>
    <row r="223921" spans="31:32" x14ac:dyDescent="0.25">
      <c r="AE223921" s="36"/>
      <c r="AF223921" s="36"/>
    </row>
    <row r="224017" spans="31:32" x14ac:dyDescent="0.25">
      <c r="AE224017" s="34"/>
      <c r="AF224017" s="34"/>
    </row>
    <row r="224025" spans="31:32" x14ac:dyDescent="0.25">
      <c r="AE224025" s="36"/>
      <c r="AF224025" s="36"/>
    </row>
    <row r="224121" spans="31:32" x14ac:dyDescent="0.25">
      <c r="AE224121" s="34"/>
      <c r="AF224121" s="34"/>
    </row>
    <row r="224129" spans="31:32" x14ac:dyDescent="0.25">
      <c r="AE224129" s="36"/>
      <c r="AF224129" s="36"/>
    </row>
    <row r="224225" spans="31:32" x14ac:dyDescent="0.25">
      <c r="AE224225" s="34"/>
      <c r="AF224225" s="34"/>
    </row>
    <row r="224233" spans="31:32" x14ac:dyDescent="0.25">
      <c r="AE224233" s="36"/>
      <c r="AF224233" s="36"/>
    </row>
    <row r="224329" spans="31:32" x14ac:dyDescent="0.25">
      <c r="AE224329" s="34"/>
      <c r="AF224329" s="34"/>
    </row>
    <row r="224337" spans="31:32" x14ac:dyDescent="0.25">
      <c r="AE224337" s="36"/>
      <c r="AF224337" s="36"/>
    </row>
    <row r="224433" spans="31:32" x14ac:dyDescent="0.25">
      <c r="AE224433" s="34"/>
      <c r="AF224433" s="34"/>
    </row>
    <row r="224441" spans="31:32" x14ac:dyDescent="0.25">
      <c r="AE224441" s="36"/>
      <c r="AF224441" s="36"/>
    </row>
    <row r="224537" spans="31:32" x14ac:dyDescent="0.25">
      <c r="AE224537" s="34"/>
      <c r="AF224537" s="34"/>
    </row>
    <row r="224545" spans="31:32" x14ac:dyDescent="0.25">
      <c r="AE224545" s="36"/>
      <c r="AF224545" s="36"/>
    </row>
    <row r="224641" spans="31:32" x14ac:dyDescent="0.25">
      <c r="AE224641" s="34"/>
      <c r="AF224641" s="34"/>
    </row>
    <row r="224649" spans="31:32" x14ac:dyDescent="0.25">
      <c r="AE224649" s="36"/>
      <c r="AF224649" s="36"/>
    </row>
    <row r="224745" spans="31:32" x14ac:dyDescent="0.25">
      <c r="AE224745" s="34"/>
      <c r="AF224745" s="34"/>
    </row>
    <row r="224753" spans="31:32" x14ac:dyDescent="0.25">
      <c r="AE224753" s="36"/>
      <c r="AF224753" s="36"/>
    </row>
    <row r="224849" spans="31:32" x14ac:dyDescent="0.25">
      <c r="AE224849" s="34"/>
      <c r="AF224849" s="34"/>
    </row>
    <row r="224857" spans="31:32" x14ac:dyDescent="0.25">
      <c r="AE224857" s="36"/>
      <c r="AF224857" s="36"/>
    </row>
    <row r="224953" spans="31:32" x14ac:dyDescent="0.25">
      <c r="AE224953" s="34"/>
      <c r="AF224953" s="34"/>
    </row>
    <row r="224961" spans="31:32" x14ac:dyDescent="0.25">
      <c r="AE224961" s="36"/>
      <c r="AF224961" s="36"/>
    </row>
    <row r="225057" spans="31:32" x14ac:dyDescent="0.25">
      <c r="AE225057" s="34"/>
      <c r="AF225057" s="34"/>
    </row>
    <row r="225065" spans="31:32" x14ac:dyDescent="0.25">
      <c r="AE225065" s="36"/>
      <c r="AF225065" s="36"/>
    </row>
    <row r="225161" spans="31:32" x14ac:dyDescent="0.25">
      <c r="AE225161" s="34"/>
      <c r="AF225161" s="34"/>
    </row>
    <row r="225169" spans="31:32" x14ac:dyDescent="0.25">
      <c r="AE225169" s="36"/>
      <c r="AF225169" s="36"/>
    </row>
    <row r="225265" spans="31:32" x14ac:dyDescent="0.25">
      <c r="AE225265" s="34"/>
      <c r="AF225265" s="34"/>
    </row>
    <row r="225273" spans="31:32" x14ac:dyDescent="0.25">
      <c r="AE225273" s="36"/>
      <c r="AF225273" s="36"/>
    </row>
    <row r="225369" spans="31:32" x14ac:dyDescent="0.25">
      <c r="AE225369" s="34"/>
      <c r="AF225369" s="34"/>
    </row>
    <row r="225377" spans="31:32" x14ac:dyDescent="0.25">
      <c r="AE225377" s="36"/>
      <c r="AF225377" s="36"/>
    </row>
    <row r="225473" spans="31:32" x14ac:dyDescent="0.25">
      <c r="AE225473" s="34"/>
      <c r="AF225473" s="34"/>
    </row>
    <row r="225481" spans="31:32" x14ac:dyDescent="0.25">
      <c r="AE225481" s="36"/>
      <c r="AF225481" s="36"/>
    </row>
    <row r="225577" spans="31:32" x14ac:dyDescent="0.25">
      <c r="AE225577" s="34"/>
      <c r="AF225577" s="34"/>
    </row>
    <row r="225585" spans="31:32" x14ac:dyDescent="0.25">
      <c r="AE225585" s="36"/>
      <c r="AF225585" s="36"/>
    </row>
    <row r="225681" spans="31:32" x14ac:dyDescent="0.25">
      <c r="AE225681" s="34"/>
      <c r="AF225681" s="34"/>
    </row>
    <row r="225689" spans="31:32" x14ac:dyDescent="0.25">
      <c r="AE225689" s="36"/>
      <c r="AF225689" s="36"/>
    </row>
    <row r="225785" spans="31:32" x14ac:dyDescent="0.25">
      <c r="AE225785" s="34"/>
      <c r="AF225785" s="34"/>
    </row>
    <row r="225793" spans="31:32" x14ac:dyDescent="0.25">
      <c r="AE225793" s="36"/>
      <c r="AF225793" s="36"/>
    </row>
    <row r="225889" spans="31:32" x14ac:dyDescent="0.25">
      <c r="AE225889" s="34"/>
      <c r="AF225889" s="34"/>
    </row>
    <row r="225897" spans="31:32" x14ac:dyDescent="0.25">
      <c r="AE225897" s="36"/>
      <c r="AF225897" s="36"/>
    </row>
    <row r="225993" spans="31:32" x14ac:dyDescent="0.25">
      <c r="AE225993" s="34"/>
      <c r="AF225993" s="34"/>
    </row>
    <row r="226001" spans="31:32" x14ac:dyDescent="0.25">
      <c r="AE226001" s="36"/>
      <c r="AF226001" s="36"/>
    </row>
    <row r="226097" spans="31:32" x14ac:dyDescent="0.25">
      <c r="AE226097" s="34"/>
      <c r="AF226097" s="34"/>
    </row>
    <row r="226105" spans="31:32" x14ac:dyDescent="0.25">
      <c r="AE226105" s="36"/>
      <c r="AF226105" s="36"/>
    </row>
    <row r="226201" spans="31:32" x14ac:dyDescent="0.25">
      <c r="AE226201" s="34"/>
      <c r="AF226201" s="34"/>
    </row>
    <row r="226209" spans="31:32" x14ac:dyDescent="0.25">
      <c r="AE226209" s="36"/>
      <c r="AF226209" s="36"/>
    </row>
    <row r="226305" spans="31:32" x14ac:dyDescent="0.25">
      <c r="AE226305" s="34"/>
      <c r="AF226305" s="34"/>
    </row>
    <row r="226313" spans="31:32" x14ac:dyDescent="0.25">
      <c r="AE226313" s="36"/>
      <c r="AF226313" s="36"/>
    </row>
    <row r="226409" spans="31:32" x14ac:dyDescent="0.25">
      <c r="AE226409" s="34"/>
      <c r="AF226409" s="34"/>
    </row>
    <row r="226417" spans="31:32" x14ac:dyDescent="0.25">
      <c r="AE226417" s="36"/>
      <c r="AF226417" s="36"/>
    </row>
    <row r="226513" spans="31:32" x14ac:dyDescent="0.25">
      <c r="AE226513" s="34"/>
      <c r="AF226513" s="34"/>
    </row>
    <row r="226521" spans="31:32" x14ac:dyDescent="0.25">
      <c r="AE226521" s="36"/>
      <c r="AF226521" s="36"/>
    </row>
    <row r="226617" spans="31:32" x14ac:dyDescent="0.25">
      <c r="AE226617" s="34"/>
      <c r="AF226617" s="34"/>
    </row>
    <row r="226625" spans="31:32" x14ac:dyDescent="0.25">
      <c r="AE226625" s="36"/>
      <c r="AF226625" s="36"/>
    </row>
    <row r="226721" spans="31:32" x14ac:dyDescent="0.25">
      <c r="AE226721" s="34"/>
      <c r="AF226721" s="34"/>
    </row>
    <row r="226729" spans="31:32" x14ac:dyDescent="0.25">
      <c r="AE226729" s="36"/>
      <c r="AF226729" s="36"/>
    </row>
    <row r="226825" spans="31:32" x14ac:dyDescent="0.25">
      <c r="AE226825" s="34"/>
      <c r="AF226825" s="34"/>
    </row>
    <row r="226833" spans="31:32" x14ac:dyDescent="0.25">
      <c r="AE226833" s="36"/>
      <c r="AF226833" s="36"/>
    </row>
    <row r="226929" spans="31:32" x14ac:dyDescent="0.25">
      <c r="AE226929" s="34"/>
      <c r="AF226929" s="34"/>
    </row>
    <row r="226937" spans="31:32" x14ac:dyDescent="0.25">
      <c r="AE226937" s="36"/>
      <c r="AF226937" s="36"/>
    </row>
    <row r="227033" spans="31:32" x14ac:dyDescent="0.25">
      <c r="AE227033" s="34"/>
      <c r="AF227033" s="34"/>
    </row>
    <row r="227041" spans="31:32" x14ac:dyDescent="0.25">
      <c r="AE227041" s="36"/>
      <c r="AF227041" s="36"/>
    </row>
    <row r="227137" spans="31:32" x14ac:dyDescent="0.25">
      <c r="AE227137" s="34"/>
      <c r="AF227137" s="34"/>
    </row>
    <row r="227145" spans="31:32" x14ac:dyDescent="0.25">
      <c r="AE227145" s="36"/>
      <c r="AF227145" s="36"/>
    </row>
    <row r="227241" spans="31:32" x14ac:dyDescent="0.25">
      <c r="AE227241" s="34"/>
      <c r="AF227241" s="34"/>
    </row>
    <row r="227249" spans="31:32" x14ac:dyDescent="0.25">
      <c r="AE227249" s="36"/>
      <c r="AF227249" s="36"/>
    </row>
    <row r="227345" spans="31:32" x14ac:dyDescent="0.25">
      <c r="AE227345" s="34"/>
      <c r="AF227345" s="34"/>
    </row>
    <row r="227353" spans="31:32" x14ac:dyDescent="0.25">
      <c r="AE227353" s="36"/>
      <c r="AF227353" s="36"/>
    </row>
    <row r="227449" spans="31:32" x14ac:dyDescent="0.25">
      <c r="AE227449" s="34"/>
      <c r="AF227449" s="34"/>
    </row>
    <row r="227457" spans="31:32" x14ac:dyDescent="0.25">
      <c r="AE227457" s="36"/>
      <c r="AF227457" s="36"/>
    </row>
    <row r="227553" spans="31:32" x14ac:dyDescent="0.25">
      <c r="AE227553" s="34"/>
      <c r="AF227553" s="34"/>
    </row>
    <row r="227561" spans="31:32" x14ac:dyDescent="0.25">
      <c r="AE227561" s="36"/>
      <c r="AF227561" s="36"/>
    </row>
    <row r="227657" spans="31:32" x14ac:dyDescent="0.25">
      <c r="AE227657" s="34"/>
      <c r="AF227657" s="34"/>
    </row>
    <row r="227665" spans="31:32" x14ac:dyDescent="0.25">
      <c r="AE227665" s="36"/>
      <c r="AF227665" s="36"/>
    </row>
    <row r="227761" spans="31:32" x14ac:dyDescent="0.25">
      <c r="AE227761" s="34"/>
      <c r="AF227761" s="34"/>
    </row>
    <row r="227769" spans="31:32" x14ac:dyDescent="0.25">
      <c r="AE227769" s="36"/>
      <c r="AF227769" s="36"/>
    </row>
    <row r="227865" spans="31:32" x14ac:dyDescent="0.25">
      <c r="AE227865" s="34"/>
      <c r="AF227865" s="34"/>
    </row>
    <row r="227873" spans="31:32" x14ac:dyDescent="0.25">
      <c r="AE227873" s="36"/>
      <c r="AF227873" s="36"/>
    </row>
    <row r="227969" spans="31:32" x14ac:dyDescent="0.25">
      <c r="AE227969" s="34"/>
      <c r="AF227969" s="34"/>
    </row>
    <row r="227977" spans="31:32" x14ac:dyDescent="0.25">
      <c r="AE227977" s="36"/>
      <c r="AF227977" s="36"/>
    </row>
    <row r="228073" spans="31:32" x14ac:dyDescent="0.25">
      <c r="AE228073" s="34"/>
      <c r="AF228073" s="34"/>
    </row>
    <row r="228081" spans="31:32" x14ac:dyDescent="0.25">
      <c r="AE228081" s="36"/>
      <c r="AF228081" s="36"/>
    </row>
    <row r="228177" spans="31:32" x14ac:dyDescent="0.25">
      <c r="AE228177" s="34"/>
      <c r="AF228177" s="34"/>
    </row>
    <row r="228185" spans="31:32" x14ac:dyDescent="0.25">
      <c r="AE228185" s="36"/>
      <c r="AF228185" s="36"/>
    </row>
    <row r="228281" spans="31:32" x14ac:dyDescent="0.25">
      <c r="AE228281" s="34"/>
      <c r="AF228281" s="34"/>
    </row>
    <row r="228289" spans="31:32" x14ac:dyDescent="0.25">
      <c r="AE228289" s="36"/>
      <c r="AF228289" s="36"/>
    </row>
    <row r="228385" spans="31:32" x14ac:dyDescent="0.25">
      <c r="AE228385" s="34"/>
      <c r="AF228385" s="34"/>
    </row>
    <row r="228393" spans="31:32" x14ac:dyDescent="0.25">
      <c r="AE228393" s="36"/>
      <c r="AF228393" s="36"/>
    </row>
    <row r="228489" spans="31:32" x14ac:dyDescent="0.25">
      <c r="AE228489" s="34"/>
      <c r="AF228489" s="34"/>
    </row>
    <row r="228497" spans="31:32" x14ac:dyDescent="0.25">
      <c r="AE228497" s="36"/>
      <c r="AF228497" s="36"/>
    </row>
    <row r="228593" spans="31:32" x14ac:dyDescent="0.25">
      <c r="AE228593" s="34"/>
      <c r="AF228593" s="34"/>
    </row>
    <row r="228601" spans="31:32" x14ac:dyDescent="0.25">
      <c r="AE228601" s="36"/>
      <c r="AF228601" s="36"/>
    </row>
    <row r="228697" spans="31:32" x14ac:dyDescent="0.25">
      <c r="AE228697" s="34"/>
      <c r="AF228697" s="34"/>
    </row>
    <row r="228705" spans="31:32" x14ac:dyDescent="0.25">
      <c r="AE228705" s="36"/>
      <c r="AF228705" s="36"/>
    </row>
    <row r="228801" spans="31:32" x14ac:dyDescent="0.25">
      <c r="AE228801" s="34"/>
      <c r="AF228801" s="34"/>
    </row>
    <row r="228809" spans="31:32" x14ac:dyDescent="0.25">
      <c r="AE228809" s="36"/>
      <c r="AF228809" s="36"/>
    </row>
    <row r="228905" spans="31:32" x14ac:dyDescent="0.25">
      <c r="AE228905" s="34"/>
      <c r="AF228905" s="34"/>
    </row>
    <row r="228913" spans="31:32" x14ac:dyDescent="0.25">
      <c r="AE228913" s="36"/>
      <c r="AF228913" s="36"/>
    </row>
    <row r="229009" spans="31:32" x14ac:dyDescent="0.25">
      <c r="AE229009" s="34"/>
      <c r="AF229009" s="34"/>
    </row>
    <row r="229017" spans="31:32" x14ac:dyDescent="0.25">
      <c r="AE229017" s="36"/>
      <c r="AF229017" s="36"/>
    </row>
    <row r="229113" spans="31:32" x14ac:dyDescent="0.25">
      <c r="AE229113" s="34"/>
      <c r="AF229113" s="34"/>
    </row>
    <row r="229121" spans="31:32" x14ac:dyDescent="0.25">
      <c r="AE229121" s="36"/>
      <c r="AF229121" s="36"/>
    </row>
    <row r="229217" spans="31:32" x14ac:dyDescent="0.25">
      <c r="AE229217" s="34"/>
      <c r="AF229217" s="34"/>
    </row>
    <row r="229225" spans="31:32" x14ac:dyDescent="0.25">
      <c r="AE229225" s="36"/>
      <c r="AF229225" s="36"/>
    </row>
    <row r="229321" spans="31:32" x14ac:dyDescent="0.25">
      <c r="AE229321" s="34"/>
      <c r="AF229321" s="34"/>
    </row>
    <row r="229329" spans="31:32" x14ac:dyDescent="0.25">
      <c r="AE229329" s="36"/>
      <c r="AF229329" s="36"/>
    </row>
    <row r="229425" spans="31:32" x14ac:dyDescent="0.25">
      <c r="AE229425" s="34"/>
      <c r="AF229425" s="34"/>
    </row>
    <row r="229433" spans="31:32" x14ac:dyDescent="0.25">
      <c r="AE229433" s="36"/>
      <c r="AF229433" s="36"/>
    </row>
    <row r="229529" spans="31:32" x14ac:dyDescent="0.25">
      <c r="AE229529" s="34"/>
      <c r="AF229529" s="34"/>
    </row>
    <row r="229537" spans="31:32" x14ac:dyDescent="0.25">
      <c r="AE229537" s="36"/>
      <c r="AF229537" s="36"/>
    </row>
    <row r="229633" spans="31:32" x14ac:dyDescent="0.25">
      <c r="AE229633" s="34"/>
      <c r="AF229633" s="34"/>
    </row>
    <row r="229641" spans="31:32" x14ac:dyDescent="0.25">
      <c r="AE229641" s="36"/>
      <c r="AF229641" s="36"/>
    </row>
    <row r="229737" spans="31:32" x14ac:dyDescent="0.25">
      <c r="AE229737" s="34"/>
      <c r="AF229737" s="34"/>
    </row>
    <row r="229745" spans="31:32" x14ac:dyDescent="0.25">
      <c r="AE229745" s="36"/>
      <c r="AF229745" s="36"/>
    </row>
    <row r="229841" spans="31:32" x14ac:dyDescent="0.25">
      <c r="AE229841" s="34"/>
      <c r="AF229841" s="34"/>
    </row>
    <row r="229849" spans="31:32" x14ac:dyDescent="0.25">
      <c r="AE229849" s="36"/>
      <c r="AF229849" s="36"/>
    </row>
    <row r="229945" spans="31:32" x14ac:dyDescent="0.25">
      <c r="AE229945" s="34"/>
      <c r="AF229945" s="34"/>
    </row>
    <row r="229953" spans="31:32" x14ac:dyDescent="0.25">
      <c r="AE229953" s="36"/>
      <c r="AF229953" s="36"/>
    </row>
    <row r="230049" spans="31:32" x14ac:dyDescent="0.25">
      <c r="AE230049" s="34"/>
      <c r="AF230049" s="34"/>
    </row>
    <row r="230057" spans="31:32" x14ac:dyDescent="0.25">
      <c r="AE230057" s="36"/>
      <c r="AF230057" s="36"/>
    </row>
    <row r="230153" spans="31:32" x14ac:dyDescent="0.25">
      <c r="AE230153" s="34"/>
      <c r="AF230153" s="34"/>
    </row>
    <row r="230161" spans="31:32" x14ac:dyDescent="0.25">
      <c r="AE230161" s="36"/>
      <c r="AF230161" s="36"/>
    </row>
    <row r="230257" spans="31:32" x14ac:dyDescent="0.25">
      <c r="AE230257" s="34"/>
      <c r="AF230257" s="34"/>
    </row>
    <row r="230265" spans="31:32" x14ac:dyDescent="0.25">
      <c r="AE230265" s="36"/>
      <c r="AF230265" s="36"/>
    </row>
    <row r="230361" spans="31:32" x14ac:dyDescent="0.25">
      <c r="AE230361" s="34"/>
      <c r="AF230361" s="34"/>
    </row>
    <row r="230369" spans="31:32" x14ac:dyDescent="0.25">
      <c r="AE230369" s="36"/>
      <c r="AF230369" s="36"/>
    </row>
    <row r="230465" spans="31:32" x14ac:dyDescent="0.25">
      <c r="AE230465" s="34"/>
      <c r="AF230465" s="34"/>
    </row>
    <row r="230473" spans="31:32" x14ac:dyDescent="0.25">
      <c r="AE230473" s="36"/>
      <c r="AF230473" s="36"/>
    </row>
    <row r="230569" spans="31:32" x14ac:dyDescent="0.25">
      <c r="AE230569" s="34"/>
      <c r="AF230569" s="34"/>
    </row>
    <row r="230577" spans="31:32" x14ac:dyDescent="0.25">
      <c r="AE230577" s="36"/>
      <c r="AF230577" s="36"/>
    </row>
    <row r="230673" spans="31:32" x14ac:dyDescent="0.25">
      <c r="AE230673" s="34"/>
      <c r="AF230673" s="34"/>
    </row>
    <row r="230681" spans="31:32" x14ac:dyDescent="0.25">
      <c r="AE230681" s="36"/>
      <c r="AF230681" s="36"/>
    </row>
    <row r="230777" spans="31:32" x14ac:dyDescent="0.25">
      <c r="AE230777" s="34"/>
      <c r="AF230777" s="34"/>
    </row>
    <row r="230785" spans="31:32" x14ac:dyDescent="0.25">
      <c r="AE230785" s="36"/>
      <c r="AF230785" s="36"/>
    </row>
    <row r="230881" spans="31:32" x14ac:dyDescent="0.25">
      <c r="AE230881" s="34"/>
      <c r="AF230881" s="34"/>
    </row>
    <row r="230889" spans="31:32" x14ac:dyDescent="0.25">
      <c r="AE230889" s="36"/>
      <c r="AF230889" s="36"/>
    </row>
    <row r="230985" spans="31:32" x14ac:dyDescent="0.25">
      <c r="AE230985" s="34"/>
      <c r="AF230985" s="34"/>
    </row>
    <row r="230993" spans="31:32" x14ac:dyDescent="0.25">
      <c r="AE230993" s="36"/>
      <c r="AF230993" s="36"/>
    </row>
    <row r="231089" spans="31:32" x14ac:dyDescent="0.25">
      <c r="AE231089" s="34"/>
      <c r="AF231089" s="34"/>
    </row>
    <row r="231097" spans="31:32" x14ac:dyDescent="0.25">
      <c r="AE231097" s="36"/>
      <c r="AF231097" s="36"/>
    </row>
    <row r="231193" spans="31:32" x14ac:dyDescent="0.25">
      <c r="AE231193" s="34"/>
      <c r="AF231193" s="34"/>
    </row>
    <row r="231201" spans="31:32" x14ac:dyDescent="0.25">
      <c r="AE231201" s="36"/>
      <c r="AF231201" s="36"/>
    </row>
    <row r="231297" spans="31:32" x14ac:dyDescent="0.25">
      <c r="AE231297" s="34"/>
      <c r="AF231297" s="34"/>
    </row>
    <row r="231305" spans="31:32" x14ac:dyDescent="0.25">
      <c r="AE231305" s="36"/>
      <c r="AF231305" s="36"/>
    </row>
    <row r="231401" spans="31:32" x14ac:dyDescent="0.25">
      <c r="AE231401" s="34"/>
      <c r="AF231401" s="34"/>
    </row>
    <row r="231409" spans="31:32" x14ac:dyDescent="0.25">
      <c r="AE231409" s="36"/>
      <c r="AF231409" s="36"/>
    </row>
    <row r="231505" spans="31:32" x14ac:dyDescent="0.25">
      <c r="AE231505" s="34"/>
      <c r="AF231505" s="34"/>
    </row>
    <row r="231513" spans="31:32" x14ac:dyDescent="0.25">
      <c r="AE231513" s="36"/>
      <c r="AF231513" s="36"/>
    </row>
    <row r="231609" spans="31:32" x14ac:dyDescent="0.25">
      <c r="AE231609" s="34"/>
      <c r="AF231609" s="34"/>
    </row>
    <row r="231617" spans="31:32" x14ac:dyDescent="0.25">
      <c r="AE231617" s="36"/>
      <c r="AF231617" s="36"/>
    </row>
    <row r="231713" spans="31:32" x14ac:dyDescent="0.25">
      <c r="AE231713" s="34"/>
      <c r="AF231713" s="34"/>
    </row>
    <row r="231721" spans="31:32" x14ac:dyDescent="0.25">
      <c r="AE231721" s="36"/>
      <c r="AF231721" s="36"/>
    </row>
    <row r="231817" spans="31:32" x14ac:dyDescent="0.25">
      <c r="AE231817" s="34"/>
      <c r="AF231817" s="34"/>
    </row>
    <row r="231825" spans="31:32" x14ac:dyDescent="0.25">
      <c r="AE231825" s="36"/>
      <c r="AF231825" s="36"/>
    </row>
    <row r="231921" spans="31:32" x14ac:dyDescent="0.25">
      <c r="AE231921" s="34"/>
      <c r="AF231921" s="34"/>
    </row>
    <row r="231929" spans="31:32" x14ac:dyDescent="0.25">
      <c r="AE231929" s="36"/>
      <c r="AF231929" s="36"/>
    </row>
    <row r="232025" spans="31:32" x14ac:dyDescent="0.25">
      <c r="AE232025" s="34"/>
      <c r="AF232025" s="34"/>
    </row>
    <row r="232033" spans="31:32" x14ac:dyDescent="0.25">
      <c r="AE232033" s="36"/>
      <c r="AF232033" s="36"/>
    </row>
    <row r="232129" spans="31:32" x14ac:dyDescent="0.25">
      <c r="AE232129" s="34"/>
      <c r="AF232129" s="34"/>
    </row>
    <row r="232137" spans="31:32" x14ac:dyDescent="0.25">
      <c r="AE232137" s="36"/>
      <c r="AF232137" s="36"/>
    </row>
    <row r="232233" spans="31:32" x14ac:dyDescent="0.25">
      <c r="AE232233" s="34"/>
      <c r="AF232233" s="34"/>
    </row>
    <row r="232241" spans="31:32" x14ac:dyDescent="0.25">
      <c r="AE232241" s="36"/>
      <c r="AF232241" s="36"/>
    </row>
    <row r="232337" spans="31:32" x14ac:dyDescent="0.25">
      <c r="AE232337" s="34"/>
      <c r="AF232337" s="34"/>
    </row>
    <row r="232345" spans="31:32" x14ac:dyDescent="0.25">
      <c r="AE232345" s="36"/>
      <c r="AF232345" s="36"/>
    </row>
    <row r="232441" spans="31:32" x14ac:dyDescent="0.25">
      <c r="AE232441" s="34"/>
      <c r="AF232441" s="34"/>
    </row>
    <row r="232449" spans="31:32" x14ac:dyDescent="0.25">
      <c r="AE232449" s="36"/>
      <c r="AF232449" s="36"/>
    </row>
    <row r="232545" spans="31:32" x14ac:dyDescent="0.25">
      <c r="AE232545" s="34"/>
      <c r="AF232545" s="34"/>
    </row>
    <row r="232553" spans="31:32" x14ac:dyDescent="0.25">
      <c r="AE232553" s="36"/>
      <c r="AF232553" s="36"/>
    </row>
    <row r="232649" spans="31:32" x14ac:dyDescent="0.25">
      <c r="AE232649" s="34"/>
      <c r="AF232649" s="34"/>
    </row>
    <row r="232657" spans="31:32" x14ac:dyDescent="0.25">
      <c r="AE232657" s="36"/>
      <c r="AF232657" s="36"/>
    </row>
    <row r="232753" spans="31:32" x14ac:dyDescent="0.25">
      <c r="AE232753" s="34"/>
      <c r="AF232753" s="34"/>
    </row>
    <row r="232761" spans="31:32" x14ac:dyDescent="0.25">
      <c r="AE232761" s="36"/>
      <c r="AF232761" s="36"/>
    </row>
    <row r="232857" spans="31:32" x14ac:dyDescent="0.25">
      <c r="AE232857" s="34"/>
      <c r="AF232857" s="34"/>
    </row>
    <row r="232865" spans="31:32" x14ac:dyDescent="0.25">
      <c r="AE232865" s="36"/>
      <c r="AF232865" s="36"/>
    </row>
    <row r="232961" spans="31:32" x14ac:dyDescent="0.25">
      <c r="AE232961" s="34"/>
      <c r="AF232961" s="34"/>
    </row>
    <row r="232969" spans="31:32" x14ac:dyDescent="0.25">
      <c r="AE232969" s="36"/>
      <c r="AF232969" s="36"/>
    </row>
    <row r="233065" spans="31:32" x14ac:dyDescent="0.25">
      <c r="AE233065" s="34"/>
      <c r="AF233065" s="34"/>
    </row>
    <row r="233073" spans="31:32" x14ac:dyDescent="0.25">
      <c r="AE233073" s="36"/>
      <c r="AF233073" s="36"/>
    </row>
    <row r="233169" spans="31:32" x14ac:dyDescent="0.25">
      <c r="AE233169" s="34"/>
      <c r="AF233169" s="34"/>
    </row>
    <row r="233177" spans="31:32" x14ac:dyDescent="0.25">
      <c r="AE233177" s="36"/>
      <c r="AF233177" s="36"/>
    </row>
    <row r="233273" spans="31:32" x14ac:dyDescent="0.25">
      <c r="AE233273" s="34"/>
      <c r="AF233273" s="34"/>
    </row>
    <row r="233281" spans="31:32" x14ac:dyDescent="0.25">
      <c r="AE233281" s="36"/>
      <c r="AF233281" s="36"/>
    </row>
    <row r="233377" spans="31:32" x14ac:dyDescent="0.25">
      <c r="AE233377" s="34"/>
      <c r="AF233377" s="34"/>
    </row>
    <row r="233385" spans="31:32" x14ac:dyDescent="0.25">
      <c r="AE233385" s="36"/>
      <c r="AF233385" s="36"/>
    </row>
    <row r="233481" spans="31:32" x14ac:dyDescent="0.25">
      <c r="AE233481" s="34"/>
      <c r="AF233481" s="34"/>
    </row>
    <row r="233489" spans="31:32" x14ac:dyDescent="0.25">
      <c r="AE233489" s="36"/>
      <c r="AF233489" s="36"/>
    </row>
    <row r="233585" spans="31:32" x14ac:dyDescent="0.25">
      <c r="AE233585" s="34"/>
      <c r="AF233585" s="34"/>
    </row>
    <row r="233593" spans="31:32" x14ac:dyDescent="0.25">
      <c r="AE233593" s="36"/>
      <c r="AF233593" s="36"/>
    </row>
    <row r="233689" spans="31:32" x14ac:dyDescent="0.25">
      <c r="AE233689" s="34"/>
      <c r="AF233689" s="34"/>
    </row>
    <row r="233697" spans="31:32" x14ac:dyDescent="0.25">
      <c r="AE233697" s="36"/>
      <c r="AF233697" s="36"/>
    </row>
    <row r="233793" spans="31:32" x14ac:dyDescent="0.25">
      <c r="AE233793" s="34"/>
      <c r="AF233793" s="34"/>
    </row>
    <row r="233801" spans="31:32" x14ac:dyDescent="0.25">
      <c r="AE233801" s="36"/>
      <c r="AF233801" s="36"/>
    </row>
    <row r="233897" spans="31:32" x14ac:dyDescent="0.25">
      <c r="AE233897" s="34"/>
      <c r="AF233897" s="34"/>
    </row>
    <row r="233905" spans="31:32" x14ac:dyDescent="0.25">
      <c r="AE233905" s="36"/>
      <c r="AF233905" s="36"/>
    </row>
    <row r="234001" spans="31:32" x14ac:dyDescent="0.25">
      <c r="AE234001" s="34"/>
      <c r="AF234001" s="34"/>
    </row>
    <row r="234009" spans="31:32" x14ac:dyDescent="0.25">
      <c r="AE234009" s="36"/>
      <c r="AF234009" s="36"/>
    </row>
    <row r="234105" spans="31:32" x14ac:dyDescent="0.25">
      <c r="AE234105" s="34"/>
      <c r="AF234105" s="34"/>
    </row>
    <row r="234113" spans="31:32" x14ac:dyDescent="0.25">
      <c r="AE234113" s="36"/>
      <c r="AF234113" s="36"/>
    </row>
    <row r="234209" spans="31:32" x14ac:dyDescent="0.25">
      <c r="AE234209" s="34"/>
      <c r="AF234209" s="34"/>
    </row>
    <row r="234217" spans="31:32" x14ac:dyDescent="0.25">
      <c r="AE234217" s="36"/>
      <c r="AF234217" s="36"/>
    </row>
    <row r="234313" spans="31:32" x14ac:dyDescent="0.25">
      <c r="AE234313" s="34"/>
      <c r="AF234313" s="34"/>
    </row>
    <row r="234321" spans="31:32" x14ac:dyDescent="0.25">
      <c r="AE234321" s="36"/>
      <c r="AF234321" s="36"/>
    </row>
    <row r="234417" spans="31:32" x14ac:dyDescent="0.25">
      <c r="AE234417" s="34"/>
      <c r="AF234417" s="34"/>
    </row>
    <row r="234425" spans="31:32" x14ac:dyDescent="0.25">
      <c r="AE234425" s="36"/>
      <c r="AF234425" s="36"/>
    </row>
    <row r="234521" spans="31:32" x14ac:dyDescent="0.25">
      <c r="AE234521" s="34"/>
      <c r="AF234521" s="34"/>
    </row>
    <row r="234529" spans="31:32" x14ac:dyDescent="0.25">
      <c r="AE234529" s="36"/>
      <c r="AF234529" s="36"/>
    </row>
    <row r="234625" spans="31:32" x14ac:dyDescent="0.25">
      <c r="AE234625" s="34"/>
      <c r="AF234625" s="34"/>
    </row>
    <row r="234633" spans="31:32" x14ac:dyDescent="0.25">
      <c r="AE234633" s="36"/>
      <c r="AF234633" s="36"/>
    </row>
    <row r="234729" spans="31:32" x14ac:dyDescent="0.25">
      <c r="AE234729" s="34"/>
      <c r="AF234729" s="34"/>
    </row>
    <row r="234737" spans="31:32" x14ac:dyDescent="0.25">
      <c r="AE234737" s="36"/>
      <c r="AF234737" s="36"/>
    </row>
    <row r="234833" spans="31:32" x14ac:dyDescent="0.25">
      <c r="AE234833" s="34"/>
      <c r="AF234833" s="34"/>
    </row>
    <row r="234841" spans="31:32" x14ac:dyDescent="0.25">
      <c r="AE234841" s="36"/>
      <c r="AF234841" s="36"/>
    </row>
    <row r="234937" spans="31:32" x14ac:dyDescent="0.25">
      <c r="AE234937" s="34"/>
      <c r="AF234937" s="34"/>
    </row>
    <row r="234945" spans="31:32" x14ac:dyDescent="0.25">
      <c r="AE234945" s="36"/>
      <c r="AF234945" s="36"/>
    </row>
    <row r="235041" spans="31:32" x14ac:dyDescent="0.25">
      <c r="AE235041" s="34"/>
      <c r="AF235041" s="34"/>
    </row>
    <row r="235049" spans="31:32" x14ac:dyDescent="0.25">
      <c r="AE235049" s="36"/>
      <c r="AF235049" s="36"/>
    </row>
    <row r="235145" spans="31:32" x14ac:dyDescent="0.25">
      <c r="AE235145" s="34"/>
      <c r="AF235145" s="34"/>
    </row>
    <row r="235153" spans="31:32" x14ac:dyDescent="0.25">
      <c r="AE235153" s="36"/>
      <c r="AF235153" s="36"/>
    </row>
    <row r="235249" spans="31:32" x14ac:dyDescent="0.25">
      <c r="AE235249" s="34"/>
      <c r="AF235249" s="34"/>
    </row>
    <row r="235257" spans="31:32" x14ac:dyDescent="0.25">
      <c r="AE235257" s="36"/>
      <c r="AF235257" s="36"/>
    </row>
    <row r="235353" spans="31:32" x14ac:dyDescent="0.25">
      <c r="AE235353" s="34"/>
      <c r="AF235353" s="34"/>
    </row>
    <row r="235361" spans="31:32" x14ac:dyDescent="0.25">
      <c r="AE235361" s="36"/>
      <c r="AF235361" s="36"/>
    </row>
    <row r="235457" spans="31:32" x14ac:dyDescent="0.25">
      <c r="AE235457" s="34"/>
      <c r="AF235457" s="34"/>
    </row>
    <row r="235465" spans="31:32" x14ac:dyDescent="0.25">
      <c r="AE235465" s="36"/>
      <c r="AF235465" s="36"/>
    </row>
    <row r="235561" spans="31:32" x14ac:dyDescent="0.25">
      <c r="AE235561" s="34"/>
      <c r="AF235561" s="34"/>
    </row>
    <row r="235569" spans="31:32" x14ac:dyDescent="0.25">
      <c r="AE235569" s="36"/>
      <c r="AF235569" s="36"/>
    </row>
    <row r="235665" spans="31:32" x14ac:dyDescent="0.25">
      <c r="AE235665" s="34"/>
      <c r="AF235665" s="34"/>
    </row>
    <row r="235673" spans="31:32" x14ac:dyDescent="0.25">
      <c r="AE235673" s="36"/>
      <c r="AF235673" s="36"/>
    </row>
    <row r="235769" spans="31:32" x14ac:dyDescent="0.25">
      <c r="AE235769" s="34"/>
      <c r="AF235769" s="34"/>
    </row>
    <row r="235777" spans="31:32" x14ac:dyDescent="0.25">
      <c r="AE235777" s="36"/>
      <c r="AF235777" s="36"/>
    </row>
    <row r="235873" spans="31:32" x14ac:dyDescent="0.25">
      <c r="AE235873" s="34"/>
      <c r="AF235873" s="34"/>
    </row>
    <row r="235881" spans="31:32" x14ac:dyDescent="0.25">
      <c r="AE235881" s="36"/>
      <c r="AF235881" s="36"/>
    </row>
    <row r="235977" spans="31:32" x14ac:dyDescent="0.25">
      <c r="AE235977" s="34"/>
      <c r="AF235977" s="34"/>
    </row>
    <row r="235985" spans="31:32" x14ac:dyDescent="0.25">
      <c r="AE235985" s="36"/>
      <c r="AF235985" s="36"/>
    </row>
    <row r="236081" spans="31:32" x14ac:dyDescent="0.25">
      <c r="AE236081" s="34"/>
      <c r="AF236081" s="34"/>
    </row>
    <row r="236089" spans="31:32" x14ac:dyDescent="0.25">
      <c r="AE236089" s="36"/>
      <c r="AF236089" s="36"/>
    </row>
    <row r="236185" spans="31:32" x14ac:dyDescent="0.25">
      <c r="AE236185" s="34"/>
      <c r="AF236185" s="34"/>
    </row>
    <row r="236193" spans="31:32" x14ac:dyDescent="0.25">
      <c r="AE236193" s="36"/>
      <c r="AF236193" s="36"/>
    </row>
    <row r="236289" spans="31:32" x14ac:dyDescent="0.25">
      <c r="AE236289" s="34"/>
      <c r="AF236289" s="34"/>
    </row>
    <row r="236297" spans="31:32" x14ac:dyDescent="0.25">
      <c r="AE236297" s="36"/>
      <c r="AF236297" s="36"/>
    </row>
    <row r="236393" spans="31:32" x14ac:dyDescent="0.25">
      <c r="AE236393" s="34"/>
      <c r="AF236393" s="34"/>
    </row>
    <row r="236401" spans="31:32" x14ac:dyDescent="0.25">
      <c r="AE236401" s="36"/>
      <c r="AF236401" s="36"/>
    </row>
    <row r="236497" spans="31:32" x14ac:dyDescent="0.25">
      <c r="AE236497" s="34"/>
      <c r="AF236497" s="34"/>
    </row>
    <row r="236505" spans="31:32" x14ac:dyDescent="0.25">
      <c r="AE236505" s="36"/>
      <c r="AF236505" s="36"/>
    </row>
    <row r="236601" spans="31:32" x14ac:dyDescent="0.25">
      <c r="AE236601" s="34"/>
      <c r="AF236601" s="34"/>
    </row>
    <row r="236609" spans="31:32" x14ac:dyDescent="0.25">
      <c r="AE236609" s="36"/>
      <c r="AF236609" s="36"/>
    </row>
    <row r="236705" spans="31:32" x14ac:dyDescent="0.25">
      <c r="AE236705" s="34"/>
      <c r="AF236705" s="34"/>
    </row>
    <row r="236713" spans="31:32" x14ac:dyDescent="0.25">
      <c r="AE236713" s="36"/>
      <c r="AF236713" s="36"/>
    </row>
    <row r="236809" spans="31:32" x14ac:dyDescent="0.25">
      <c r="AE236809" s="34"/>
      <c r="AF236809" s="34"/>
    </row>
    <row r="236817" spans="31:32" x14ac:dyDescent="0.25">
      <c r="AE236817" s="36"/>
      <c r="AF236817" s="36"/>
    </row>
    <row r="236913" spans="31:32" x14ac:dyDescent="0.25">
      <c r="AE236913" s="34"/>
      <c r="AF236913" s="34"/>
    </row>
    <row r="236921" spans="31:32" x14ac:dyDescent="0.25">
      <c r="AE236921" s="36"/>
      <c r="AF236921" s="36"/>
    </row>
    <row r="237017" spans="31:32" x14ac:dyDescent="0.25">
      <c r="AE237017" s="34"/>
      <c r="AF237017" s="34"/>
    </row>
    <row r="237025" spans="31:32" x14ac:dyDescent="0.25">
      <c r="AE237025" s="36"/>
      <c r="AF237025" s="36"/>
    </row>
    <row r="237121" spans="31:32" x14ac:dyDescent="0.25">
      <c r="AE237121" s="34"/>
      <c r="AF237121" s="34"/>
    </row>
    <row r="237129" spans="31:32" x14ac:dyDescent="0.25">
      <c r="AE237129" s="36"/>
      <c r="AF237129" s="36"/>
    </row>
    <row r="237225" spans="31:32" x14ac:dyDescent="0.25">
      <c r="AE237225" s="34"/>
      <c r="AF237225" s="34"/>
    </row>
    <row r="237233" spans="31:32" x14ac:dyDescent="0.25">
      <c r="AE237233" s="36"/>
      <c r="AF237233" s="36"/>
    </row>
    <row r="237329" spans="31:32" x14ac:dyDescent="0.25">
      <c r="AE237329" s="34"/>
      <c r="AF237329" s="34"/>
    </row>
    <row r="237337" spans="31:32" x14ac:dyDescent="0.25">
      <c r="AE237337" s="36"/>
      <c r="AF237337" s="36"/>
    </row>
    <row r="237433" spans="31:32" x14ac:dyDescent="0.25">
      <c r="AE237433" s="34"/>
      <c r="AF237433" s="34"/>
    </row>
    <row r="237441" spans="31:32" x14ac:dyDescent="0.25">
      <c r="AE237441" s="36"/>
      <c r="AF237441" s="36"/>
    </row>
    <row r="237537" spans="31:32" x14ac:dyDescent="0.25">
      <c r="AE237537" s="34"/>
      <c r="AF237537" s="34"/>
    </row>
    <row r="237545" spans="31:32" x14ac:dyDescent="0.25">
      <c r="AE237545" s="36"/>
      <c r="AF237545" s="36"/>
    </row>
    <row r="237641" spans="31:32" x14ac:dyDescent="0.25">
      <c r="AE237641" s="34"/>
      <c r="AF237641" s="34"/>
    </row>
    <row r="237649" spans="31:32" x14ac:dyDescent="0.25">
      <c r="AE237649" s="36"/>
      <c r="AF237649" s="36"/>
    </row>
    <row r="237745" spans="31:32" x14ac:dyDescent="0.25">
      <c r="AE237745" s="34"/>
      <c r="AF237745" s="34"/>
    </row>
    <row r="237753" spans="31:32" x14ac:dyDescent="0.25">
      <c r="AE237753" s="36"/>
      <c r="AF237753" s="36"/>
    </row>
    <row r="237849" spans="31:32" x14ac:dyDescent="0.25">
      <c r="AE237849" s="34"/>
      <c r="AF237849" s="34"/>
    </row>
    <row r="237857" spans="31:32" x14ac:dyDescent="0.25">
      <c r="AE237857" s="36"/>
      <c r="AF237857" s="36"/>
    </row>
    <row r="237953" spans="31:32" x14ac:dyDescent="0.25">
      <c r="AE237953" s="34"/>
      <c r="AF237953" s="34"/>
    </row>
    <row r="237961" spans="31:32" x14ac:dyDescent="0.25">
      <c r="AE237961" s="36"/>
      <c r="AF237961" s="36"/>
    </row>
    <row r="238057" spans="31:32" x14ac:dyDescent="0.25">
      <c r="AE238057" s="34"/>
      <c r="AF238057" s="34"/>
    </row>
    <row r="238065" spans="31:32" x14ac:dyDescent="0.25">
      <c r="AE238065" s="36"/>
      <c r="AF238065" s="36"/>
    </row>
    <row r="238161" spans="31:32" x14ac:dyDescent="0.25">
      <c r="AE238161" s="34"/>
      <c r="AF238161" s="34"/>
    </row>
    <row r="238169" spans="31:32" x14ac:dyDescent="0.25">
      <c r="AE238169" s="36"/>
      <c r="AF238169" s="36"/>
    </row>
    <row r="238265" spans="31:32" x14ac:dyDescent="0.25">
      <c r="AE238265" s="34"/>
      <c r="AF238265" s="34"/>
    </row>
    <row r="238273" spans="31:32" x14ac:dyDescent="0.25">
      <c r="AE238273" s="36"/>
      <c r="AF238273" s="36"/>
    </row>
    <row r="238369" spans="31:32" x14ac:dyDescent="0.25">
      <c r="AE238369" s="34"/>
      <c r="AF238369" s="34"/>
    </row>
    <row r="238377" spans="31:32" x14ac:dyDescent="0.25">
      <c r="AE238377" s="36"/>
      <c r="AF238377" s="36"/>
    </row>
    <row r="238473" spans="31:32" x14ac:dyDescent="0.25">
      <c r="AE238473" s="34"/>
      <c r="AF238473" s="34"/>
    </row>
    <row r="238481" spans="31:32" x14ac:dyDescent="0.25">
      <c r="AE238481" s="36"/>
      <c r="AF238481" s="36"/>
    </row>
    <row r="238577" spans="31:32" x14ac:dyDescent="0.25">
      <c r="AE238577" s="34"/>
      <c r="AF238577" s="34"/>
    </row>
    <row r="238585" spans="31:32" x14ac:dyDescent="0.25">
      <c r="AE238585" s="36"/>
      <c r="AF238585" s="36"/>
    </row>
    <row r="238681" spans="31:32" x14ac:dyDescent="0.25">
      <c r="AE238681" s="34"/>
      <c r="AF238681" s="34"/>
    </row>
    <row r="238689" spans="31:32" x14ac:dyDescent="0.25">
      <c r="AE238689" s="36"/>
      <c r="AF238689" s="36"/>
    </row>
    <row r="238785" spans="31:32" x14ac:dyDescent="0.25">
      <c r="AE238785" s="34"/>
      <c r="AF238785" s="34"/>
    </row>
    <row r="238793" spans="31:32" x14ac:dyDescent="0.25">
      <c r="AE238793" s="36"/>
      <c r="AF238793" s="36"/>
    </row>
    <row r="238889" spans="31:32" x14ac:dyDescent="0.25">
      <c r="AE238889" s="34"/>
      <c r="AF238889" s="34"/>
    </row>
    <row r="238897" spans="31:32" x14ac:dyDescent="0.25">
      <c r="AE238897" s="36"/>
      <c r="AF238897" s="36"/>
    </row>
    <row r="238993" spans="31:32" x14ac:dyDescent="0.25">
      <c r="AE238993" s="34"/>
      <c r="AF238993" s="34"/>
    </row>
    <row r="239001" spans="31:32" x14ac:dyDescent="0.25">
      <c r="AE239001" s="36"/>
      <c r="AF239001" s="36"/>
    </row>
    <row r="239097" spans="31:32" x14ac:dyDescent="0.25">
      <c r="AE239097" s="34"/>
      <c r="AF239097" s="34"/>
    </row>
    <row r="239105" spans="31:32" x14ac:dyDescent="0.25">
      <c r="AE239105" s="36"/>
      <c r="AF239105" s="36"/>
    </row>
    <row r="239201" spans="31:32" x14ac:dyDescent="0.25">
      <c r="AE239201" s="34"/>
      <c r="AF239201" s="34"/>
    </row>
    <row r="239209" spans="31:32" x14ac:dyDescent="0.25">
      <c r="AE239209" s="36"/>
      <c r="AF239209" s="36"/>
    </row>
    <row r="239305" spans="31:32" x14ac:dyDescent="0.25">
      <c r="AE239305" s="34"/>
      <c r="AF239305" s="34"/>
    </row>
    <row r="239313" spans="31:32" x14ac:dyDescent="0.25">
      <c r="AE239313" s="36"/>
      <c r="AF239313" s="36"/>
    </row>
    <row r="239409" spans="31:32" x14ac:dyDescent="0.25">
      <c r="AE239409" s="34"/>
      <c r="AF239409" s="34"/>
    </row>
    <row r="239417" spans="31:32" x14ac:dyDescent="0.25">
      <c r="AE239417" s="36"/>
      <c r="AF239417" s="36"/>
    </row>
    <row r="239513" spans="31:32" x14ac:dyDescent="0.25">
      <c r="AE239513" s="34"/>
      <c r="AF239513" s="34"/>
    </row>
    <row r="239521" spans="31:32" x14ac:dyDescent="0.25">
      <c r="AE239521" s="36"/>
      <c r="AF239521" s="36"/>
    </row>
    <row r="239617" spans="31:32" x14ac:dyDescent="0.25">
      <c r="AE239617" s="34"/>
      <c r="AF239617" s="34"/>
    </row>
    <row r="239625" spans="31:32" x14ac:dyDescent="0.25">
      <c r="AE239625" s="36"/>
      <c r="AF239625" s="36"/>
    </row>
    <row r="239721" spans="31:32" x14ac:dyDescent="0.25">
      <c r="AE239721" s="34"/>
      <c r="AF239721" s="34"/>
    </row>
    <row r="239729" spans="31:32" x14ac:dyDescent="0.25">
      <c r="AE239729" s="36"/>
      <c r="AF239729" s="36"/>
    </row>
    <row r="239825" spans="31:32" x14ac:dyDescent="0.25">
      <c r="AE239825" s="34"/>
      <c r="AF239825" s="34"/>
    </row>
    <row r="239833" spans="31:32" x14ac:dyDescent="0.25">
      <c r="AE239833" s="36"/>
      <c r="AF239833" s="36"/>
    </row>
    <row r="239929" spans="31:32" x14ac:dyDescent="0.25">
      <c r="AE239929" s="34"/>
      <c r="AF239929" s="34"/>
    </row>
    <row r="239937" spans="31:32" x14ac:dyDescent="0.25">
      <c r="AE239937" s="36"/>
      <c r="AF239937" s="36"/>
    </row>
    <row r="240033" spans="31:32" x14ac:dyDescent="0.25">
      <c r="AE240033" s="34"/>
      <c r="AF240033" s="34"/>
    </row>
    <row r="240041" spans="31:32" x14ac:dyDescent="0.25">
      <c r="AE240041" s="36"/>
      <c r="AF240041" s="36"/>
    </row>
    <row r="240137" spans="31:32" x14ac:dyDescent="0.25">
      <c r="AE240137" s="34"/>
      <c r="AF240137" s="34"/>
    </row>
    <row r="240145" spans="31:32" x14ac:dyDescent="0.25">
      <c r="AE240145" s="36"/>
      <c r="AF240145" s="36"/>
    </row>
    <row r="240241" spans="31:32" x14ac:dyDescent="0.25">
      <c r="AE240241" s="34"/>
      <c r="AF240241" s="34"/>
    </row>
    <row r="240249" spans="31:32" x14ac:dyDescent="0.25">
      <c r="AE240249" s="36"/>
      <c r="AF240249" s="36"/>
    </row>
    <row r="240345" spans="31:32" x14ac:dyDescent="0.25">
      <c r="AE240345" s="34"/>
      <c r="AF240345" s="34"/>
    </row>
    <row r="240353" spans="31:32" x14ac:dyDescent="0.25">
      <c r="AE240353" s="36"/>
      <c r="AF240353" s="36"/>
    </row>
    <row r="240449" spans="31:32" x14ac:dyDescent="0.25">
      <c r="AE240449" s="34"/>
      <c r="AF240449" s="34"/>
    </row>
    <row r="240457" spans="31:32" x14ac:dyDescent="0.25">
      <c r="AE240457" s="36"/>
      <c r="AF240457" s="36"/>
    </row>
    <row r="240553" spans="31:32" x14ac:dyDescent="0.25">
      <c r="AE240553" s="34"/>
      <c r="AF240553" s="34"/>
    </row>
    <row r="240561" spans="31:32" x14ac:dyDescent="0.25">
      <c r="AE240561" s="36"/>
      <c r="AF240561" s="36"/>
    </row>
    <row r="240657" spans="31:32" x14ac:dyDescent="0.25">
      <c r="AE240657" s="34"/>
      <c r="AF240657" s="34"/>
    </row>
    <row r="240665" spans="31:32" x14ac:dyDescent="0.25">
      <c r="AE240665" s="36"/>
      <c r="AF240665" s="36"/>
    </row>
    <row r="240761" spans="31:32" x14ac:dyDescent="0.25">
      <c r="AE240761" s="34"/>
      <c r="AF240761" s="34"/>
    </row>
    <row r="240769" spans="31:32" x14ac:dyDescent="0.25">
      <c r="AE240769" s="36"/>
      <c r="AF240769" s="36"/>
    </row>
    <row r="240865" spans="31:32" x14ac:dyDescent="0.25">
      <c r="AE240865" s="34"/>
      <c r="AF240865" s="34"/>
    </row>
    <row r="240873" spans="31:32" x14ac:dyDescent="0.25">
      <c r="AE240873" s="36"/>
      <c r="AF240873" s="36"/>
    </row>
    <row r="240969" spans="31:32" x14ac:dyDescent="0.25">
      <c r="AE240969" s="34"/>
      <c r="AF240969" s="34"/>
    </row>
    <row r="240977" spans="31:32" x14ac:dyDescent="0.25">
      <c r="AE240977" s="36"/>
      <c r="AF240977" s="36"/>
    </row>
    <row r="241073" spans="31:32" x14ac:dyDescent="0.25">
      <c r="AE241073" s="34"/>
      <c r="AF241073" s="34"/>
    </row>
    <row r="241081" spans="31:32" x14ac:dyDescent="0.25">
      <c r="AE241081" s="36"/>
      <c r="AF241081" s="36"/>
    </row>
    <row r="241177" spans="31:32" x14ac:dyDescent="0.25">
      <c r="AE241177" s="34"/>
      <c r="AF241177" s="34"/>
    </row>
    <row r="241185" spans="31:32" x14ac:dyDescent="0.25">
      <c r="AE241185" s="36"/>
      <c r="AF241185" s="36"/>
    </row>
    <row r="241281" spans="31:32" x14ac:dyDescent="0.25">
      <c r="AE241281" s="34"/>
      <c r="AF241281" s="34"/>
    </row>
    <row r="241289" spans="31:32" x14ac:dyDescent="0.25">
      <c r="AE241289" s="36"/>
      <c r="AF241289" s="36"/>
    </row>
    <row r="241385" spans="31:32" x14ac:dyDescent="0.25">
      <c r="AE241385" s="34"/>
      <c r="AF241385" s="34"/>
    </row>
    <row r="241393" spans="31:32" x14ac:dyDescent="0.25">
      <c r="AE241393" s="36"/>
      <c r="AF241393" s="36"/>
    </row>
    <row r="241489" spans="31:32" x14ac:dyDescent="0.25">
      <c r="AE241489" s="34"/>
      <c r="AF241489" s="34"/>
    </row>
    <row r="241497" spans="31:32" x14ac:dyDescent="0.25">
      <c r="AE241497" s="36"/>
      <c r="AF241497" s="36"/>
    </row>
    <row r="241593" spans="31:32" x14ac:dyDescent="0.25">
      <c r="AE241593" s="34"/>
      <c r="AF241593" s="34"/>
    </row>
    <row r="241601" spans="31:32" x14ac:dyDescent="0.25">
      <c r="AE241601" s="36"/>
      <c r="AF241601" s="36"/>
    </row>
    <row r="241697" spans="31:32" x14ac:dyDescent="0.25">
      <c r="AE241697" s="34"/>
      <c r="AF241697" s="34"/>
    </row>
    <row r="241705" spans="31:32" x14ac:dyDescent="0.25">
      <c r="AE241705" s="36"/>
      <c r="AF241705" s="36"/>
    </row>
    <row r="241801" spans="31:32" x14ac:dyDescent="0.25">
      <c r="AE241801" s="34"/>
      <c r="AF241801" s="34"/>
    </row>
    <row r="241809" spans="31:32" x14ac:dyDescent="0.25">
      <c r="AE241809" s="36"/>
      <c r="AF241809" s="36"/>
    </row>
    <row r="241905" spans="31:32" x14ac:dyDescent="0.25">
      <c r="AE241905" s="34"/>
      <c r="AF241905" s="34"/>
    </row>
    <row r="241913" spans="31:32" x14ac:dyDescent="0.25">
      <c r="AE241913" s="36"/>
      <c r="AF241913" s="36"/>
    </row>
    <row r="242009" spans="31:32" x14ac:dyDescent="0.25">
      <c r="AE242009" s="34"/>
      <c r="AF242009" s="34"/>
    </row>
    <row r="242017" spans="31:32" x14ac:dyDescent="0.25">
      <c r="AE242017" s="36"/>
      <c r="AF242017" s="36"/>
    </row>
    <row r="242113" spans="31:32" x14ac:dyDescent="0.25">
      <c r="AE242113" s="34"/>
      <c r="AF242113" s="34"/>
    </row>
    <row r="242121" spans="31:32" x14ac:dyDescent="0.25">
      <c r="AE242121" s="36"/>
      <c r="AF242121" s="36"/>
    </row>
    <row r="242217" spans="31:32" x14ac:dyDescent="0.25">
      <c r="AE242217" s="34"/>
      <c r="AF242217" s="34"/>
    </row>
    <row r="242225" spans="31:32" x14ac:dyDescent="0.25">
      <c r="AE242225" s="36"/>
      <c r="AF242225" s="36"/>
    </row>
    <row r="242321" spans="31:32" x14ac:dyDescent="0.25">
      <c r="AE242321" s="34"/>
      <c r="AF242321" s="34"/>
    </row>
    <row r="242329" spans="31:32" x14ac:dyDescent="0.25">
      <c r="AE242329" s="36"/>
      <c r="AF242329" s="36"/>
    </row>
    <row r="242425" spans="31:32" x14ac:dyDescent="0.25">
      <c r="AE242425" s="34"/>
      <c r="AF242425" s="34"/>
    </row>
    <row r="242433" spans="31:32" x14ac:dyDescent="0.25">
      <c r="AE242433" s="36"/>
      <c r="AF242433" s="36"/>
    </row>
    <row r="242529" spans="31:32" x14ac:dyDescent="0.25">
      <c r="AE242529" s="34"/>
      <c r="AF242529" s="34"/>
    </row>
    <row r="242537" spans="31:32" x14ac:dyDescent="0.25">
      <c r="AE242537" s="36"/>
      <c r="AF242537" s="36"/>
    </row>
    <row r="242633" spans="31:32" x14ac:dyDescent="0.25">
      <c r="AE242633" s="34"/>
      <c r="AF242633" s="34"/>
    </row>
    <row r="242641" spans="31:32" x14ac:dyDescent="0.25">
      <c r="AE242641" s="36"/>
      <c r="AF242641" s="36"/>
    </row>
    <row r="242737" spans="31:32" x14ac:dyDescent="0.25">
      <c r="AE242737" s="34"/>
      <c r="AF242737" s="34"/>
    </row>
    <row r="242745" spans="31:32" x14ac:dyDescent="0.25">
      <c r="AE242745" s="36"/>
      <c r="AF242745" s="36"/>
    </row>
    <row r="242841" spans="31:32" x14ac:dyDescent="0.25">
      <c r="AE242841" s="34"/>
      <c r="AF242841" s="34"/>
    </row>
    <row r="242849" spans="31:32" x14ac:dyDescent="0.25">
      <c r="AE242849" s="36"/>
      <c r="AF242849" s="36"/>
    </row>
    <row r="242945" spans="31:32" x14ac:dyDescent="0.25">
      <c r="AE242945" s="34"/>
      <c r="AF242945" s="34"/>
    </row>
    <row r="242953" spans="31:32" x14ac:dyDescent="0.25">
      <c r="AE242953" s="36"/>
      <c r="AF242953" s="36"/>
    </row>
    <row r="243049" spans="31:32" x14ac:dyDescent="0.25">
      <c r="AE243049" s="34"/>
      <c r="AF243049" s="34"/>
    </row>
    <row r="243057" spans="31:32" x14ac:dyDescent="0.25">
      <c r="AE243057" s="36"/>
      <c r="AF243057" s="36"/>
    </row>
    <row r="243153" spans="31:32" x14ac:dyDescent="0.25">
      <c r="AE243153" s="34"/>
      <c r="AF243153" s="34"/>
    </row>
    <row r="243161" spans="31:32" x14ac:dyDescent="0.25">
      <c r="AE243161" s="36"/>
      <c r="AF243161" s="36"/>
    </row>
    <row r="243257" spans="31:32" x14ac:dyDescent="0.25">
      <c r="AE243257" s="34"/>
      <c r="AF243257" s="34"/>
    </row>
    <row r="243265" spans="31:32" x14ac:dyDescent="0.25">
      <c r="AE243265" s="36"/>
      <c r="AF243265" s="36"/>
    </row>
    <row r="243361" spans="31:32" x14ac:dyDescent="0.25">
      <c r="AE243361" s="34"/>
      <c r="AF243361" s="34"/>
    </row>
    <row r="243369" spans="31:32" x14ac:dyDescent="0.25">
      <c r="AE243369" s="36"/>
      <c r="AF243369" s="36"/>
    </row>
    <row r="243465" spans="31:32" x14ac:dyDescent="0.25">
      <c r="AE243465" s="34"/>
      <c r="AF243465" s="34"/>
    </row>
    <row r="243473" spans="31:32" x14ac:dyDescent="0.25">
      <c r="AE243473" s="36"/>
      <c r="AF243473" s="36"/>
    </row>
    <row r="243569" spans="31:32" x14ac:dyDescent="0.25">
      <c r="AE243569" s="34"/>
      <c r="AF243569" s="34"/>
    </row>
    <row r="243577" spans="31:32" x14ac:dyDescent="0.25">
      <c r="AE243577" s="36"/>
      <c r="AF243577" s="36"/>
    </row>
    <row r="243673" spans="31:32" x14ac:dyDescent="0.25">
      <c r="AE243673" s="34"/>
      <c r="AF243673" s="34"/>
    </row>
    <row r="243681" spans="31:32" x14ac:dyDescent="0.25">
      <c r="AE243681" s="36"/>
      <c r="AF243681" s="36"/>
    </row>
    <row r="243777" spans="31:32" x14ac:dyDescent="0.25">
      <c r="AE243777" s="34"/>
      <c r="AF243777" s="34"/>
    </row>
    <row r="243785" spans="31:32" x14ac:dyDescent="0.25">
      <c r="AE243785" s="36"/>
      <c r="AF243785" s="36"/>
    </row>
    <row r="243881" spans="31:32" x14ac:dyDescent="0.25">
      <c r="AE243881" s="34"/>
      <c r="AF243881" s="34"/>
    </row>
    <row r="243889" spans="31:32" x14ac:dyDescent="0.25">
      <c r="AE243889" s="36"/>
      <c r="AF243889" s="36"/>
    </row>
    <row r="243985" spans="31:32" x14ac:dyDescent="0.25">
      <c r="AE243985" s="34"/>
      <c r="AF243985" s="34"/>
    </row>
    <row r="243993" spans="31:32" x14ac:dyDescent="0.25">
      <c r="AE243993" s="36"/>
      <c r="AF243993" s="36"/>
    </row>
    <row r="244089" spans="31:32" x14ac:dyDescent="0.25">
      <c r="AE244089" s="34"/>
      <c r="AF244089" s="34"/>
    </row>
    <row r="244097" spans="31:32" x14ac:dyDescent="0.25">
      <c r="AE244097" s="36"/>
      <c r="AF244097" s="36"/>
    </row>
    <row r="244193" spans="31:32" x14ac:dyDescent="0.25">
      <c r="AE244193" s="34"/>
      <c r="AF244193" s="34"/>
    </row>
    <row r="244201" spans="31:32" x14ac:dyDescent="0.25">
      <c r="AE244201" s="36"/>
      <c r="AF244201" s="36"/>
    </row>
    <row r="244297" spans="31:32" x14ac:dyDescent="0.25">
      <c r="AE244297" s="34"/>
      <c r="AF244297" s="34"/>
    </row>
    <row r="244305" spans="31:32" x14ac:dyDescent="0.25">
      <c r="AE244305" s="36"/>
      <c r="AF244305" s="36"/>
    </row>
    <row r="244401" spans="31:32" x14ac:dyDescent="0.25">
      <c r="AE244401" s="34"/>
      <c r="AF244401" s="34"/>
    </row>
    <row r="244409" spans="31:32" x14ac:dyDescent="0.25">
      <c r="AE244409" s="36"/>
      <c r="AF244409" s="36"/>
    </row>
    <row r="244505" spans="31:32" x14ac:dyDescent="0.25">
      <c r="AE244505" s="34"/>
      <c r="AF244505" s="34"/>
    </row>
    <row r="244513" spans="31:32" x14ac:dyDescent="0.25">
      <c r="AE244513" s="36"/>
      <c r="AF244513" s="36"/>
    </row>
    <row r="244609" spans="31:32" x14ac:dyDescent="0.25">
      <c r="AE244609" s="34"/>
      <c r="AF244609" s="34"/>
    </row>
    <row r="244617" spans="31:32" x14ac:dyDescent="0.25">
      <c r="AE244617" s="36"/>
      <c r="AF244617" s="36"/>
    </row>
    <row r="244713" spans="31:32" x14ac:dyDescent="0.25">
      <c r="AE244713" s="34"/>
      <c r="AF244713" s="34"/>
    </row>
    <row r="244721" spans="31:32" x14ac:dyDescent="0.25">
      <c r="AE244721" s="36"/>
      <c r="AF244721" s="36"/>
    </row>
    <row r="244817" spans="31:32" x14ac:dyDescent="0.25">
      <c r="AE244817" s="34"/>
      <c r="AF244817" s="34"/>
    </row>
    <row r="244825" spans="31:32" x14ac:dyDescent="0.25">
      <c r="AE244825" s="36"/>
      <c r="AF244825" s="36"/>
    </row>
    <row r="244921" spans="31:32" x14ac:dyDescent="0.25">
      <c r="AE244921" s="34"/>
      <c r="AF244921" s="34"/>
    </row>
    <row r="244929" spans="31:32" x14ac:dyDescent="0.25">
      <c r="AE244929" s="36"/>
      <c r="AF244929" s="36"/>
    </row>
    <row r="245025" spans="31:32" x14ac:dyDescent="0.25">
      <c r="AE245025" s="34"/>
      <c r="AF245025" s="34"/>
    </row>
    <row r="245033" spans="31:32" x14ac:dyDescent="0.25">
      <c r="AE245033" s="36"/>
      <c r="AF245033" s="36"/>
    </row>
    <row r="245129" spans="31:32" x14ac:dyDescent="0.25">
      <c r="AE245129" s="34"/>
      <c r="AF245129" s="34"/>
    </row>
    <row r="245137" spans="31:32" x14ac:dyDescent="0.25">
      <c r="AE245137" s="36"/>
      <c r="AF245137" s="36"/>
    </row>
    <row r="245233" spans="31:32" x14ac:dyDescent="0.25">
      <c r="AE245233" s="34"/>
      <c r="AF245233" s="34"/>
    </row>
    <row r="245241" spans="31:32" x14ac:dyDescent="0.25">
      <c r="AE245241" s="36"/>
      <c r="AF245241" s="36"/>
    </row>
    <row r="245337" spans="31:32" x14ac:dyDescent="0.25">
      <c r="AE245337" s="34"/>
      <c r="AF245337" s="34"/>
    </row>
    <row r="245345" spans="31:32" x14ac:dyDescent="0.25">
      <c r="AE245345" s="36"/>
      <c r="AF245345" s="36"/>
    </row>
    <row r="245441" spans="31:32" x14ac:dyDescent="0.25">
      <c r="AE245441" s="34"/>
      <c r="AF245441" s="34"/>
    </row>
    <row r="245449" spans="31:32" x14ac:dyDescent="0.25">
      <c r="AE245449" s="36"/>
      <c r="AF245449" s="36"/>
    </row>
    <row r="245545" spans="31:32" x14ac:dyDescent="0.25">
      <c r="AE245545" s="34"/>
      <c r="AF245545" s="34"/>
    </row>
    <row r="245553" spans="31:32" x14ac:dyDescent="0.25">
      <c r="AE245553" s="36"/>
      <c r="AF245553" s="36"/>
    </row>
    <row r="245649" spans="31:32" x14ac:dyDescent="0.25">
      <c r="AE245649" s="34"/>
      <c r="AF245649" s="34"/>
    </row>
    <row r="245657" spans="31:32" x14ac:dyDescent="0.25">
      <c r="AE245657" s="36"/>
      <c r="AF245657" s="36"/>
    </row>
    <row r="245753" spans="31:32" x14ac:dyDescent="0.25">
      <c r="AE245753" s="34"/>
      <c r="AF245753" s="34"/>
    </row>
    <row r="245761" spans="31:32" x14ac:dyDescent="0.25">
      <c r="AE245761" s="36"/>
      <c r="AF245761" s="36"/>
    </row>
    <row r="245857" spans="31:32" x14ac:dyDescent="0.25">
      <c r="AE245857" s="34"/>
      <c r="AF245857" s="34"/>
    </row>
    <row r="245865" spans="31:32" x14ac:dyDescent="0.25">
      <c r="AE245865" s="36"/>
      <c r="AF245865" s="36"/>
    </row>
    <row r="245961" spans="31:32" x14ac:dyDescent="0.25">
      <c r="AE245961" s="34"/>
      <c r="AF245961" s="34"/>
    </row>
    <row r="245969" spans="31:32" x14ac:dyDescent="0.25">
      <c r="AE245969" s="36"/>
      <c r="AF245969" s="36"/>
    </row>
    <row r="246065" spans="31:32" x14ac:dyDescent="0.25">
      <c r="AE246065" s="34"/>
      <c r="AF246065" s="34"/>
    </row>
    <row r="246073" spans="31:32" x14ac:dyDescent="0.25">
      <c r="AE246073" s="36"/>
      <c r="AF246073" s="36"/>
    </row>
    <row r="246169" spans="31:32" x14ac:dyDescent="0.25">
      <c r="AE246169" s="34"/>
      <c r="AF246169" s="34"/>
    </row>
    <row r="246177" spans="31:32" x14ac:dyDescent="0.25">
      <c r="AE246177" s="36"/>
      <c r="AF246177" s="36"/>
    </row>
    <row r="246273" spans="31:32" x14ac:dyDescent="0.25">
      <c r="AE246273" s="34"/>
      <c r="AF246273" s="34"/>
    </row>
    <row r="246281" spans="31:32" x14ac:dyDescent="0.25">
      <c r="AE246281" s="36"/>
      <c r="AF246281" s="36"/>
    </row>
    <row r="246377" spans="31:32" x14ac:dyDescent="0.25">
      <c r="AE246377" s="34"/>
      <c r="AF246377" s="34"/>
    </row>
    <row r="246385" spans="31:32" x14ac:dyDescent="0.25">
      <c r="AE246385" s="36"/>
      <c r="AF246385" s="36"/>
    </row>
    <row r="246481" spans="31:32" x14ac:dyDescent="0.25">
      <c r="AE246481" s="34"/>
      <c r="AF246481" s="34"/>
    </row>
    <row r="246489" spans="31:32" x14ac:dyDescent="0.25">
      <c r="AE246489" s="36"/>
      <c r="AF246489" s="36"/>
    </row>
    <row r="246585" spans="31:32" x14ac:dyDescent="0.25">
      <c r="AE246585" s="34"/>
      <c r="AF246585" s="34"/>
    </row>
    <row r="246593" spans="31:32" x14ac:dyDescent="0.25">
      <c r="AE246593" s="36"/>
      <c r="AF246593" s="36"/>
    </row>
    <row r="246689" spans="31:32" x14ac:dyDescent="0.25">
      <c r="AE246689" s="34"/>
      <c r="AF246689" s="34"/>
    </row>
    <row r="246697" spans="31:32" x14ac:dyDescent="0.25">
      <c r="AE246697" s="36"/>
      <c r="AF246697" s="36"/>
    </row>
    <row r="246793" spans="31:32" x14ac:dyDescent="0.25">
      <c r="AE246793" s="34"/>
      <c r="AF246793" s="34"/>
    </row>
    <row r="246801" spans="31:32" x14ac:dyDescent="0.25">
      <c r="AE246801" s="36"/>
      <c r="AF246801" s="36"/>
    </row>
    <row r="246897" spans="31:32" x14ac:dyDescent="0.25">
      <c r="AE246897" s="34"/>
      <c r="AF246897" s="34"/>
    </row>
    <row r="246905" spans="31:32" x14ac:dyDescent="0.25">
      <c r="AE246905" s="36"/>
      <c r="AF246905" s="36"/>
    </row>
    <row r="247001" spans="31:32" x14ac:dyDescent="0.25">
      <c r="AE247001" s="34"/>
      <c r="AF247001" s="34"/>
    </row>
    <row r="247009" spans="31:32" x14ac:dyDescent="0.25">
      <c r="AE247009" s="36"/>
      <c r="AF247009" s="36"/>
    </row>
    <row r="247105" spans="31:32" x14ac:dyDescent="0.25">
      <c r="AE247105" s="34"/>
      <c r="AF247105" s="34"/>
    </row>
    <row r="247113" spans="31:32" x14ac:dyDescent="0.25">
      <c r="AE247113" s="36"/>
      <c r="AF247113" s="36"/>
    </row>
    <row r="247209" spans="31:32" x14ac:dyDescent="0.25">
      <c r="AE247209" s="34"/>
      <c r="AF247209" s="34"/>
    </row>
    <row r="247217" spans="31:32" x14ac:dyDescent="0.25">
      <c r="AE247217" s="36"/>
      <c r="AF247217" s="36"/>
    </row>
    <row r="247313" spans="31:32" x14ac:dyDescent="0.25">
      <c r="AE247313" s="34"/>
      <c r="AF247313" s="34"/>
    </row>
    <row r="247321" spans="31:32" x14ac:dyDescent="0.25">
      <c r="AE247321" s="36"/>
      <c r="AF247321" s="36"/>
    </row>
    <row r="247417" spans="31:32" x14ac:dyDescent="0.25">
      <c r="AE247417" s="34"/>
      <c r="AF247417" s="34"/>
    </row>
    <row r="247425" spans="31:32" x14ac:dyDescent="0.25">
      <c r="AE247425" s="36"/>
      <c r="AF247425" s="36"/>
    </row>
    <row r="247521" spans="31:32" x14ac:dyDescent="0.25">
      <c r="AE247521" s="34"/>
      <c r="AF247521" s="34"/>
    </row>
    <row r="247529" spans="31:32" x14ac:dyDescent="0.25">
      <c r="AE247529" s="36"/>
      <c r="AF247529" s="36"/>
    </row>
    <row r="247625" spans="31:32" x14ac:dyDescent="0.25">
      <c r="AE247625" s="34"/>
      <c r="AF247625" s="34"/>
    </row>
    <row r="247633" spans="31:32" x14ac:dyDescent="0.25">
      <c r="AE247633" s="36"/>
      <c r="AF247633" s="36"/>
    </row>
    <row r="247729" spans="31:32" x14ac:dyDescent="0.25">
      <c r="AE247729" s="34"/>
      <c r="AF247729" s="34"/>
    </row>
    <row r="247737" spans="31:32" x14ac:dyDescent="0.25">
      <c r="AE247737" s="36"/>
      <c r="AF247737" s="36"/>
    </row>
    <row r="247833" spans="31:32" x14ac:dyDescent="0.25">
      <c r="AE247833" s="34"/>
      <c r="AF247833" s="34"/>
    </row>
    <row r="247841" spans="31:32" x14ac:dyDescent="0.25">
      <c r="AE247841" s="36"/>
      <c r="AF247841" s="36"/>
    </row>
    <row r="247937" spans="31:32" x14ac:dyDescent="0.25">
      <c r="AE247937" s="34"/>
      <c r="AF247937" s="34"/>
    </row>
    <row r="247945" spans="31:32" x14ac:dyDescent="0.25">
      <c r="AE247945" s="36"/>
      <c r="AF247945" s="36"/>
    </row>
    <row r="248041" spans="31:32" x14ac:dyDescent="0.25">
      <c r="AE248041" s="34"/>
      <c r="AF248041" s="34"/>
    </row>
    <row r="248049" spans="31:32" x14ac:dyDescent="0.25">
      <c r="AE248049" s="36"/>
      <c r="AF248049" s="36"/>
    </row>
    <row r="248145" spans="31:32" x14ac:dyDescent="0.25">
      <c r="AE248145" s="34"/>
      <c r="AF248145" s="34"/>
    </row>
    <row r="248153" spans="31:32" x14ac:dyDescent="0.25">
      <c r="AE248153" s="36"/>
      <c r="AF248153" s="36"/>
    </row>
    <row r="248249" spans="31:32" x14ac:dyDescent="0.25">
      <c r="AE248249" s="34"/>
      <c r="AF248249" s="34"/>
    </row>
    <row r="248257" spans="31:32" x14ac:dyDescent="0.25">
      <c r="AE248257" s="36"/>
      <c r="AF248257" s="36"/>
    </row>
    <row r="248353" spans="31:32" x14ac:dyDescent="0.25">
      <c r="AE248353" s="34"/>
      <c r="AF248353" s="34"/>
    </row>
    <row r="248361" spans="31:32" x14ac:dyDescent="0.25">
      <c r="AE248361" s="36"/>
      <c r="AF248361" s="36"/>
    </row>
    <row r="248457" spans="31:32" x14ac:dyDescent="0.25">
      <c r="AE248457" s="34"/>
      <c r="AF248457" s="34"/>
    </row>
    <row r="248465" spans="31:32" x14ac:dyDescent="0.25">
      <c r="AE248465" s="36"/>
      <c r="AF248465" s="36"/>
    </row>
    <row r="248561" spans="31:32" x14ac:dyDescent="0.25">
      <c r="AE248561" s="34"/>
      <c r="AF248561" s="34"/>
    </row>
    <row r="248569" spans="31:32" x14ac:dyDescent="0.25">
      <c r="AE248569" s="36"/>
      <c r="AF248569" s="36"/>
    </row>
    <row r="248665" spans="31:32" x14ac:dyDescent="0.25">
      <c r="AE248665" s="34"/>
      <c r="AF248665" s="34"/>
    </row>
    <row r="248673" spans="31:32" x14ac:dyDescent="0.25">
      <c r="AE248673" s="36"/>
      <c r="AF248673" s="36"/>
    </row>
    <row r="248769" spans="31:32" x14ac:dyDescent="0.25">
      <c r="AE248769" s="34"/>
      <c r="AF248769" s="34"/>
    </row>
    <row r="248777" spans="31:32" x14ac:dyDescent="0.25">
      <c r="AE248777" s="36"/>
      <c r="AF248777" s="36"/>
    </row>
    <row r="248873" spans="31:32" x14ac:dyDescent="0.25">
      <c r="AE248873" s="34"/>
      <c r="AF248873" s="34"/>
    </row>
    <row r="248881" spans="31:32" x14ac:dyDescent="0.25">
      <c r="AE248881" s="36"/>
      <c r="AF248881" s="36"/>
    </row>
    <row r="248977" spans="31:32" x14ac:dyDescent="0.25">
      <c r="AE248977" s="34"/>
      <c r="AF248977" s="34"/>
    </row>
    <row r="248985" spans="31:32" x14ac:dyDescent="0.25">
      <c r="AE248985" s="36"/>
      <c r="AF248985" s="36"/>
    </row>
    <row r="249081" spans="31:32" x14ac:dyDescent="0.25">
      <c r="AE249081" s="34"/>
      <c r="AF249081" s="34"/>
    </row>
    <row r="249089" spans="31:32" x14ac:dyDescent="0.25">
      <c r="AE249089" s="36"/>
      <c r="AF249089" s="36"/>
    </row>
    <row r="249185" spans="31:32" x14ac:dyDescent="0.25">
      <c r="AE249185" s="34"/>
      <c r="AF249185" s="34"/>
    </row>
    <row r="249193" spans="31:32" x14ac:dyDescent="0.25">
      <c r="AE249193" s="36"/>
      <c r="AF249193" s="36"/>
    </row>
    <row r="249289" spans="31:32" x14ac:dyDescent="0.25">
      <c r="AE249289" s="34"/>
      <c r="AF249289" s="34"/>
    </row>
    <row r="249297" spans="31:32" x14ac:dyDescent="0.25">
      <c r="AE249297" s="36"/>
      <c r="AF249297" s="36"/>
    </row>
    <row r="249393" spans="31:32" x14ac:dyDescent="0.25">
      <c r="AE249393" s="34"/>
      <c r="AF249393" s="34"/>
    </row>
    <row r="249401" spans="31:32" x14ac:dyDescent="0.25">
      <c r="AE249401" s="36"/>
      <c r="AF249401" s="36"/>
    </row>
    <row r="249497" spans="31:32" x14ac:dyDescent="0.25">
      <c r="AE249497" s="34"/>
      <c r="AF249497" s="34"/>
    </row>
    <row r="249505" spans="31:32" x14ac:dyDescent="0.25">
      <c r="AE249505" s="36"/>
      <c r="AF249505" s="36"/>
    </row>
    <row r="249601" spans="31:32" x14ac:dyDescent="0.25">
      <c r="AE249601" s="34"/>
      <c r="AF249601" s="34"/>
    </row>
    <row r="249609" spans="31:32" x14ac:dyDescent="0.25">
      <c r="AE249609" s="36"/>
      <c r="AF249609" s="36"/>
    </row>
    <row r="249705" spans="31:32" x14ac:dyDescent="0.25">
      <c r="AE249705" s="34"/>
      <c r="AF249705" s="34"/>
    </row>
    <row r="249713" spans="31:32" x14ac:dyDescent="0.25">
      <c r="AE249713" s="36"/>
      <c r="AF249713" s="36"/>
    </row>
    <row r="249809" spans="31:32" x14ac:dyDescent="0.25">
      <c r="AE249809" s="34"/>
      <c r="AF249809" s="34"/>
    </row>
    <row r="249817" spans="31:32" x14ac:dyDescent="0.25">
      <c r="AE249817" s="36"/>
      <c r="AF249817" s="36"/>
    </row>
    <row r="249913" spans="31:32" x14ac:dyDescent="0.25">
      <c r="AE249913" s="34"/>
      <c r="AF249913" s="34"/>
    </row>
    <row r="249921" spans="31:32" x14ac:dyDescent="0.25">
      <c r="AE249921" s="36"/>
      <c r="AF249921" s="36"/>
    </row>
    <row r="250017" spans="31:32" x14ac:dyDescent="0.25">
      <c r="AE250017" s="34"/>
      <c r="AF250017" s="34"/>
    </row>
    <row r="250025" spans="31:32" x14ac:dyDescent="0.25">
      <c r="AE250025" s="36"/>
      <c r="AF250025" s="36"/>
    </row>
    <row r="250121" spans="31:32" x14ac:dyDescent="0.25">
      <c r="AE250121" s="34"/>
      <c r="AF250121" s="34"/>
    </row>
    <row r="250129" spans="31:32" x14ac:dyDescent="0.25">
      <c r="AE250129" s="36"/>
      <c r="AF250129" s="36"/>
    </row>
    <row r="250225" spans="31:32" x14ac:dyDescent="0.25">
      <c r="AE250225" s="34"/>
      <c r="AF250225" s="34"/>
    </row>
    <row r="250233" spans="31:32" x14ac:dyDescent="0.25">
      <c r="AE250233" s="36"/>
      <c r="AF250233" s="36"/>
    </row>
    <row r="250329" spans="31:32" x14ac:dyDescent="0.25">
      <c r="AE250329" s="34"/>
      <c r="AF250329" s="34"/>
    </row>
    <row r="250337" spans="31:32" x14ac:dyDescent="0.25">
      <c r="AE250337" s="36"/>
      <c r="AF250337" s="36"/>
    </row>
    <row r="250433" spans="31:32" x14ac:dyDescent="0.25">
      <c r="AE250433" s="34"/>
      <c r="AF250433" s="34"/>
    </row>
    <row r="250441" spans="31:32" x14ac:dyDescent="0.25">
      <c r="AE250441" s="36"/>
      <c r="AF250441" s="36"/>
    </row>
    <row r="250537" spans="31:32" x14ac:dyDescent="0.25">
      <c r="AE250537" s="34"/>
      <c r="AF250537" s="34"/>
    </row>
    <row r="250545" spans="31:32" x14ac:dyDescent="0.25">
      <c r="AE250545" s="36"/>
      <c r="AF250545" s="36"/>
    </row>
    <row r="250641" spans="31:32" x14ac:dyDescent="0.25">
      <c r="AE250641" s="34"/>
      <c r="AF250641" s="34"/>
    </row>
    <row r="250649" spans="31:32" x14ac:dyDescent="0.25">
      <c r="AE250649" s="36"/>
      <c r="AF250649" s="36"/>
    </row>
    <row r="250745" spans="31:32" x14ac:dyDescent="0.25">
      <c r="AE250745" s="34"/>
      <c r="AF250745" s="34"/>
    </row>
    <row r="250753" spans="31:32" x14ac:dyDescent="0.25">
      <c r="AE250753" s="36"/>
      <c r="AF250753" s="36"/>
    </row>
    <row r="250849" spans="31:32" x14ac:dyDescent="0.25">
      <c r="AE250849" s="34"/>
      <c r="AF250849" s="34"/>
    </row>
    <row r="250857" spans="31:32" x14ac:dyDescent="0.25">
      <c r="AE250857" s="36"/>
      <c r="AF250857" s="36"/>
    </row>
    <row r="250953" spans="31:32" x14ac:dyDescent="0.25">
      <c r="AE250953" s="34"/>
      <c r="AF250953" s="34"/>
    </row>
    <row r="250961" spans="31:32" x14ac:dyDescent="0.25">
      <c r="AE250961" s="36"/>
      <c r="AF250961" s="36"/>
    </row>
    <row r="251057" spans="31:32" x14ac:dyDescent="0.25">
      <c r="AE251057" s="34"/>
      <c r="AF251057" s="34"/>
    </row>
    <row r="251065" spans="31:32" x14ac:dyDescent="0.25">
      <c r="AE251065" s="36"/>
      <c r="AF251065" s="36"/>
    </row>
    <row r="251161" spans="31:32" x14ac:dyDescent="0.25">
      <c r="AE251161" s="34"/>
      <c r="AF251161" s="34"/>
    </row>
    <row r="251169" spans="31:32" x14ac:dyDescent="0.25">
      <c r="AE251169" s="36"/>
      <c r="AF251169" s="36"/>
    </row>
    <row r="251265" spans="31:32" x14ac:dyDescent="0.25">
      <c r="AE251265" s="34"/>
      <c r="AF251265" s="34"/>
    </row>
    <row r="251273" spans="31:32" x14ac:dyDescent="0.25">
      <c r="AE251273" s="36"/>
      <c r="AF251273" s="36"/>
    </row>
    <row r="251369" spans="31:32" x14ac:dyDescent="0.25">
      <c r="AE251369" s="34"/>
      <c r="AF251369" s="34"/>
    </row>
    <row r="251377" spans="31:32" x14ac:dyDescent="0.25">
      <c r="AE251377" s="36"/>
      <c r="AF251377" s="36"/>
    </row>
    <row r="251473" spans="31:32" x14ac:dyDescent="0.25">
      <c r="AE251473" s="34"/>
      <c r="AF251473" s="34"/>
    </row>
    <row r="251481" spans="31:32" x14ac:dyDescent="0.25">
      <c r="AE251481" s="36"/>
      <c r="AF251481" s="36"/>
    </row>
    <row r="251577" spans="31:32" x14ac:dyDescent="0.25">
      <c r="AE251577" s="34"/>
      <c r="AF251577" s="34"/>
    </row>
    <row r="251585" spans="31:32" x14ac:dyDescent="0.25">
      <c r="AE251585" s="36"/>
      <c r="AF251585" s="36"/>
    </row>
    <row r="251681" spans="31:32" x14ac:dyDescent="0.25">
      <c r="AE251681" s="34"/>
      <c r="AF251681" s="34"/>
    </row>
    <row r="251689" spans="31:32" x14ac:dyDescent="0.25">
      <c r="AE251689" s="36"/>
      <c r="AF251689" s="36"/>
    </row>
    <row r="251785" spans="31:32" x14ac:dyDescent="0.25">
      <c r="AE251785" s="34"/>
      <c r="AF251785" s="34"/>
    </row>
    <row r="251793" spans="31:32" x14ac:dyDescent="0.25">
      <c r="AE251793" s="36"/>
      <c r="AF251793" s="36"/>
    </row>
    <row r="251889" spans="31:32" x14ac:dyDescent="0.25">
      <c r="AE251889" s="34"/>
      <c r="AF251889" s="34"/>
    </row>
    <row r="251897" spans="31:32" x14ac:dyDescent="0.25">
      <c r="AE251897" s="36"/>
      <c r="AF251897" s="36"/>
    </row>
    <row r="251993" spans="31:32" x14ac:dyDescent="0.25">
      <c r="AE251993" s="34"/>
      <c r="AF251993" s="34"/>
    </row>
    <row r="252001" spans="31:32" x14ac:dyDescent="0.25">
      <c r="AE252001" s="36"/>
      <c r="AF252001" s="36"/>
    </row>
    <row r="252097" spans="31:32" x14ac:dyDescent="0.25">
      <c r="AE252097" s="34"/>
      <c r="AF252097" s="34"/>
    </row>
    <row r="252105" spans="31:32" x14ac:dyDescent="0.25">
      <c r="AE252105" s="36"/>
      <c r="AF252105" s="36"/>
    </row>
    <row r="252201" spans="31:32" x14ac:dyDescent="0.25">
      <c r="AE252201" s="34"/>
      <c r="AF252201" s="34"/>
    </row>
    <row r="252209" spans="31:32" x14ac:dyDescent="0.25">
      <c r="AE252209" s="36"/>
      <c r="AF252209" s="36"/>
    </row>
    <row r="252305" spans="31:32" x14ac:dyDescent="0.25">
      <c r="AE252305" s="34"/>
      <c r="AF252305" s="34"/>
    </row>
    <row r="252313" spans="31:32" x14ac:dyDescent="0.25">
      <c r="AE252313" s="36"/>
      <c r="AF252313" s="36"/>
    </row>
    <row r="252409" spans="31:32" x14ac:dyDescent="0.25">
      <c r="AE252409" s="34"/>
      <c r="AF252409" s="34"/>
    </row>
    <row r="252417" spans="31:32" x14ac:dyDescent="0.25">
      <c r="AE252417" s="36"/>
      <c r="AF252417" s="36"/>
    </row>
    <row r="252513" spans="31:32" x14ac:dyDescent="0.25">
      <c r="AE252513" s="34"/>
      <c r="AF252513" s="34"/>
    </row>
    <row r="252521" spans="31:32" x14ac:dyDescent="0.25">
      <c r="AE252521" s="36"/>
      <c r="AF252521" s="36"/>
    </row>
    <row r="252617" spans="31:32" x14ac:dyDescent="0.25">
      <c r="AE252617" s="34"/>
      <c r="AF252617" s="34"/>
    </row>
    <row r="252625" spans="31:32" x14ac:dyDescent="0.25">
      <c r="AE252625" s="36"/>
      <c r="AF252625" s="36"/>
    </row>
    <row r="252721" spans="31:32" x14ac:dyDescent="0.25">
      <c r="AE252721" s="34"/>
      <c r="AF252721" s="34"/>
    </row>
    <row r="252729" spans="31:32" x14ac:dyDescent="0.25">
      <c r="AE252729" s="36"/>
      <c r="AF252729" s="36"/>
    </row>
    <row r="252825" spans="31:32" x14ac:dyDescent="0.25">
      <c r="AE252825" s="34"/>
      <c r="AF252825" s="34"/>
    </row>
    <row r="252833" spans="31:32" x14ac:dyDescent="0.25">
      <c r="AE252833" s="36"/>
      <c r="AF252833" s="36"/>
    </row>
    <row r="252929" spans="31:32" x14ac:dyDescent="0.25">
      <c r="AE252929" s="34"/>
      <c r="AF252929" s="34"/>
    </row>
    <row r="252937" spans="31:32" x14ac:dyDescent="0.25">
      <c r="AE252937" s="36"/>
      <c r="AF252937" s="36"/>
    </row>
    <row r="253033" spans="31:32" x14ac:dyDescent="0.25">
      <c r="AE253033" s="34"/>
      <c r="AF253033" s="34"/>
    </row>
    <row r="253041" spans="31:32" x14ac:dyDescent="0.25">
      <c r="AE253041" s="36"/>
      <c r="AF253041" s="36"/>
    </row>
    <row r="253137" spans="31:32" x14ac:dyDescent="0.25">
      <c r="AE253137" s="34"/>
      <c r="AF253137" s="34"/>
    </row>
    <row r="253145" spans="31:32" x14ac:dyDescent="0.25">
      <c r="AE253145" s="36"/>
      <c r="AF253145" s="36"/>
    </row>
    <row r="253241" spans="31:32" x14ac:dyDescent="0.25">
      <c r="AE253241" s="34"/>
      <c r="AF253241" s="34"/>
    </row>
    <row r="253249" spans="31:32" x14ac:dyDescent="0.25">
      <c r="AE253249" s="36"/>
      <c r="AF253249" s="36"/>
    </row>
    <row r="253345" spans="31:32" x14ac:dyDescent="0.25">
      <c r="AE253345" s="34"/>
      <c r="AF253345" s="34"/>
    </row>
    <row r="253353" spans="31:32" x14ac:dyDescent="0.25">
      <c r="AE253353" s="36"/>
      <c r="AF253353" s="36"/>
    </row>
    <row r="253449" spans="31:32" x14ac:dyDescent="0.25">
      <c r="AE253449" s="34"/>
      <c r="AF253449" s="34"/>
    </row>
    <row r="253457" spans="31:32" x14ac:dyDescent="0.25">
      <c r="AE253457" s="36"/>
      <c r="AF253457" s="36"/>
    </row>
    <row r="253553" spans="31:32" x14ac:dyDescent="0.25">
      <c r="AE253553" s="34"/>
      <c r="AF253553" s="34"/>
    </row>
    <row r="253561" spans="31:32" x14ac:dyDescent="0.25">
      <c r="AE253561" s="36"/>
      <c r="AF253561" s="36"/>
    </row>
    <row r="253657" spans="31:32" x14ac:dyDescent="0.25">
      <c r="AE253657" s="34"/>
      <c r="AF253657" s="34"/>
    </row>
    <row r="253665" spans="31:32" x14ac:dyDescent="0.25">
      <c r="AE253665" s="36"/>
      <c r="AF253665" s="36"/>
    </row>
    <row r="253761" spans="31:32" x14ac:dyDescent="0.25">
      <c r="AE253761" s="34"/>
      <c r="AF253761" s="34"/>
    </row>
    <row r="253769" spans="31:32" x14ac:dyDescent="0.25">
      <c r="AE253769" s="36"/>
      <c r="AF253769" s="36"/>
    </row>
    <row r="253865" spans="31:32" x14ac:dyDescent="0.25">
      <c r="AE253865" s="34"/>
      <c r="AF253865" s="34"/>
    </row>
    <row r="253873" spans="31:32" x14ac:dyDescent="0.25">
      <c r="AE253873" s="36"/>
      <c r="AF253873" s="36"/>
    </row>
    <row r="253969" spans="31:32" x14ac:dyDescent="0.25">
      <c r="AE253969" s="34"/>
      <c r="AF253969" s="34"/>
    </row>
    <row r="253977" spans="31:32" x14ac:dyDescent="0.25">
      <c r="AE253977" s="36"/>
      <c r="AF253977" s="36"/>
    </row>
    <row r="254073" spans="31:32" x14ac:dyDescent="0.25">
      <c r="AE254073" s="34"/>
      <c r="AF254073" s="34"/>
    </row>
    <row r="254081" spans="31:32" x14ac:dyDescent="0.25">
      <c r="AE254081" s="36"/>
      <c r="AF254081" s="36"/>
    </row>
    <row r="254177" spans="31:32" x14ac:dyDescent="0.25">
      <c r="AE254177" s="34"/>
      <c r="AF254177" s="34"/>
    </row>
    <row r="254185" spans="31:32" x14ac:dyDescent="0.25">
      <c r="AE254185" s="36"/>
      <c r="AF254185" s="36"/>
    </row>
    <row r="254281" spans="31:32" x14ac:dyDescent="0.25">
      <c r="AE254281" s="34"/>
      <c r="AF254281" s="34"/>
    </row>
    <row r="254289" spans="31:32" x14ac:dyDescent="0.25">
      <c r="AE254289" s="36"/>
      <c r="AF254289" s="36"/>
    </row>
    <row r="254385" spans="31:32" x14ac:dyDescent="0.25">
      <c r="AE254385" s="34"/>
      <c r="AF254385" s="34"/>
    </row>
    <row r="254393" spans="31:32" x14ac:dyDescent="0.25">
      <c r="AE254393" s="36"/>
      <c r="AF254393" s="36"/>
    </row>
    <row r="254489" spans="31:32" x14ac:dyDescent="0.25">
      <c r="AE254489" s="34"/>
      <c r="AF254489" s="34"/>
    </row>
    <row r="254497" spans="31:32" x14ac:dyDescent="0.25">
      <c r="AE254497" s="36"/>
      <c r="AF254497" s="36"/>
    </row>
    <row r="254593" spans="31:32" x14ac:dyDescent="0.25">
      <c r="AE254593" s="34"/>
      <c r="AF254593" s="34"/>
    </row>
    <row r="254601" spans="31:32" x14ac:dyDescent="0.25">
      <c r="AE254601" s="36"/>
      <c r="AF254601" s="36"/>
    </row>
    <row r="254697" spans="31:32" x14ac:dyDescent="0.25">
      <c r="AE254697" s="34"/>
      <c r="AF254697" s="34"/>
    </row>
    <row r="254705" spans="31:32" x14ac:dyDescent="0.25">
      <c r="AE254705" s="36"/>
      <c r="AF254705" s="36"/>
    </row>
    <row r="254801" spans="31:32" x14ac:dyDescent="0.25">
      <c r="AE254801" s="34"/>
      <c r="AF254801" s="34"/>
    </row>
    <row r="254809" spans="31:32" x14ac:dyDescent="0.25">
      <c r="AE254809" s="36"/>
      <c r="AF254809" s="36"/>
    </row>
    <row r="254905" spans="31:32" x14ac:dyDescent="0.25">
      <c r="AE254905" s="34"/>
      <c r="AF254905" s="34"/>
    </row>
    <row r="254913" spans="31:32" x14ac:dyDescent="0.25">
      <c r="AE254913" s="36"/>
      <c r="AF254913" s="36"/>
    </row>
    <row r="255009" spans="31:32" x14ac:dyDescent="0.25">
      <c r="AE255009" s="34"/>
      <c r="AF255009" s="34"/>
    </row>
    <row r="255017" spans="31:32" x14ac:dyDescent="0.25">
      <c r="AE255017" s="36"/>
      <c r="AF255017" s="36"/>
    </row>
    <row r="255113" spans="31:32" x14ac:dyDescent="0.25">
      <c r="AE255113" s="34"/>
      <c r="AF255113" s="34"/>
    </row>
    <row r="255121" spans="31:32" x14ac:dyDescent="0.25">
      <c r="AE255121" s="36"/>
      <c r="AF255121" s="36"/>
    </row>
    <row r="255217" spans="31:32" x14ac:dyDescent="0.25">
      <c r="AE255217" s="34"/>
      <c r="AF255217" s="34"/>
    </row>
    <row r="255225" spans="31:32" x14ac:dyDescent="0.25">
      <c r="AE255225" s="36"/>
      <c r="AF255225" s="36"/>
    </row>
    <row r="255321" spans="31:32" x14ac:dyDescent="0.25">
      <c r="AE255321" s="34"/>
      <c r="AF255321" s="34"/>
    </row>
    <row r="255329" spans="31:32" x14ac:dyDescent="0.25">
      <c r="AE255329" s="36"/>
      <c r="AF255329" s="36"/>
    </row>
    <row r="255425" spans="31:32" x14ac:dyDescent="0.25">
      <c r="AE255425" s="34"/>
      <c r="AF255425" s="34"/>
    </row>
    <row r="255433" spans="31:32" x14ac:dyDescent="0.25">
      <c r="AE255433" s="36"/>
      <c r="AF255433" s="36"/>
    </row>
    <row r="255529" spans="31:32" x14ac:dyDescent="0.25">
      <c r="AE255529" s="34"/>
      <c r="AF255529" s="34"/>
    </row>
    <row r="255537" spans="31:32" x14ac:dyDescent="0.25">
      <c r="AE255537" s="36"/>
      <c r="AF255537" s="36"/>
    </row>
    <row r="255633" spans="31:32" x14ac:dyDescent="0.25">
      <c r="AE255633" s="34"/>
      <c r="AF255633" s="34"/>
    </row>
    <row r="255641" spans="31:32" x14ac:dyDescent="0.25">
      <c r="AE255641" s="36"/>
      <c r="AF255641" s="36"/>
    </row>
    <row r="255737" spans="31:32" x14ac:dyDescent="0.25">
      <c r="AE255737" s="34"/>
      <c r="AF255737" s="34"/>
    </row>
    <row r="255745" spans="31:32" x14ac:dyDescent="0.25">
      <c r="AE255745" s="36"/>
      <c r="AF255745" s="36"/>
    </row>
    <row r="255841" spans="31:32" x14ac:dyDescent="0.25">
      <c r="AE255841" s="34"/>
      <c r="AF255841" s="34"/>
    </row>
    <row r="255849" spans="31:32" x14ac:dyDescent="0.25">
      <c r="AE255849" s="36"/>
      <c r="AF255849" s="36"/>
    </row>
    <row r="255945" spans="31:32" x14ac:dyDescent="0.25">
      <c r="AE255945" s="34"/>
      <c r="AF255945" s="34"/>
    </row>
    <row r="255953" spans="31:32" x14ac:dyDescent="0.25">
      <c r="AE255953" s="36"/>
      <c r="AF255953" s="36"/>
    </row>
    <row r="256049" spans="31:32" x14ac:dyDescent="0.25">
      <c r="AE256049" s="34"/>
      <c r="AF256049" s="34"/>
    </row>
    <row r="256057" spans="31:32" x14ac:dyDescent="0.25">
      <c r="AE256057" s="36"/>
      <c r="AF256057" s="36"/>
    </row>
    <row r="256153" spans="31:32" x14ac:dyDescent="0.25">
      <c r="AE256153" s="34"/>
      <c r="AF256153" s="34"/>
    </row>
    <row r="256161" spans="31:32" x14ac:dyDescent="0.25">
      <c r="AE256161" s="36"/>
      <c r="AF256161" s="36"/>
    </row>
    <row r="256257" spans="31:32" x14ac:dyDescent="0.25">
      <c r="AE256257" s="34"/>
      <c r="AF256257" s="34"/>
    </row>
    <row r="256265" spans="31:32" x14ac:dyDescent="0.25">
      <c r="AE256265" s="36"/>
      <c r="AF256265" s="36"/>
    </row>
    <row r="256361" spans="31:32" x14ac:dyDescent="0.25">
      <c r="AE256361" s="34"/>
      <c r="AF256361" s="34"/>
    </row>
    <row r="256369" spans="31:32" x14ac:dyDescent="0.25">
      <c r="AE256369" s="36"/>
      <c r="AF256369" s="36"/>
    </row>
    <row r="256465" spans="31:32" x14ac:dyDescent="0.25">
      <c r="AE256465" s="34"/>
      <c r="AF256465" s="34"/>
    </row>
    <row r="256473" spans="31:32" x14ac:dyDescent="0.25">
      <c r="AE256473" s="36"/>
      <c r="AF256473" s="36"/>
    </row>
    <row r="256569" spans="31:32" x14ac:dyDescent="0.25">
      <c r="AE256569" s="34"/>
      <c r="AF256569" s="34"/>
    </row>
    <row r="256577" spans="31:32" x14ac:dyDescent="0.25">
      <c r="AE256577" s="36"/>
      <c r="AF256577" s="36"/>
    </row>
    <row r="256673" spans="31:32" x14ac:dyDescent="0.25">
      <c r="AE256673" s="34"/>
      <c r="AF256673" s="34"/>
    </row>
    <row r="256681" spans="31:32" x14ac:dyDescent="0.25">
      <c r="AE256681" s="36"/>
      <c r="AF256681" s="36"/>
    </row>
    <row r="256777" spans="31:32" x14ac:dyDescent="0.25">
      <c r="AE256777" s="34"/>
      <c r="AF256777" s="34"/>
    </row>
    <row r="256785" spans="31:32" x14ac:dyDescent="0.25">
      <c r="AE256785" s="36"/>
      <c r="AF256785" s="36"/>
    </row>
    <row r="256881" spans="31:32" x14ac:dyDescent="0.25">
      <c r="AE256881" s="34"/>
      <c r="AF256881" s="34"/>
    </row>
    <row r="256889" spans="31:32" x14ac:dyDescent="0.25">
      <c r="AE256889" s="36"/>
      <c r="AF256889" s="36"/>
    </row>
    <row r="256985" spans="31:32" x14ac:dyDescent="0.25">
      <c r="AE256985" s="34"/>
      <c r="AF256985" s="34"/>
    </row>
    <row r="256993" spans="31:32" x14ac:dyDescent="0.25">
      <c r="AE256993" s="36"/>
      <c r="AF256993" s="36"/>
    </row>
    <row r="257089" spans="31:32" x14ac:dyDescent="0.25">
      <c r="AE257089" s="34"/>
      <c r="AF257089" s="34"/>
    </row>
    <row r="257097" spans="31:32" x14ac:dyDescent="0.25">
      <c r="AE257097" s="36"/>
      <c r="AF257097" s="36"/>
    </row>
    <row r="257193" spans="31:32" x14ac:dyDescent="0.25">
      <c r="AE257193" s="34"/>
      <c r="AF257193" s="34"/>
    </row>
    <row r="257201" spans="31:32" x14ac:dyDescent="0.25">
      <c r="AE257201" s="36"/>
      <c r="AF257201" s="36"/>
    </row>
    <row r="257297" spans="31:32" x14ac:dyDescent="0.25">
      <c r="AE257297" s="34"/>
      <c r="AF257297" s="34"/>
    </row>
    <row r="257305" spans="31:32" x14ac:dyDescent="0.25">
      <c r="AE257305" s="36"/>
      <c r="AF257305" s="36"/>
    </row>
    <row r="257401" spans="31:32" x14ac:dyDescent="0.25">
      <c r="AE257401" s="34"/>
      <c r="AF257401" s="34"/>
    </row>
    <row r="257409" spans="31:32" x14ac:dyDescent="0.25">
      <c r="AE257409" s="36"/>
      <c r="AF257409" s="36"/>
    </row>
    <row r="257505" spans="31:32" x14ac:dyDescent="0.25">
      <c r="AE257505" s="34"/>
      <c r="AF257505" s="34"/>
    </row>
    <row r="257513" spans="31:32" x14ac:dyDescent="0.25">
      <c r="AE257513" s="36"/>
      <c r="AF257513" s="36"/>
    </row>
    <row r="257609" spans="31:32" x14ac:dyDescent="0.25">
      <c r="AE257609" s="34"/>
      <c r="AF257609" s="34"/>
    </row>
    <row r="257617" spans="31:32" x14ac:dyDescent="0.25">
      <c r="AE257617" s="36"/>
      <c r="AF257617" s="36"/>
    </row>
    <row r="257713" spans="31:32" x14ac:dyDescent="0.25">
      <c r="AE257713" s="34"/>
      <c r="AF257713" s="34"/>
    </row>
    <row r="257721" spans="31:32" x14ac:dyDescent="0.25">
      <c r="AE257721" s="36"/>
      <c r="AF257721" s="36"/>
    </row>
    <row r="257817" spans="31:32" x14ac:dyDescent="0.25">
      <c r="AE257817" s="34"/>
      <c r="AF257817" s="34"/>
    </row>
    <row r="257825" spans="31:32" x14ac:dyDescent="0.25">
      <c r="AE257825" s="36"/>
      <c r="AF257825" s="36"/>
    </row>
    <row r="257921" spans="31:32" x14ac:dyDescent="0.25">
      <c r="AE257921" s="34"/>
      <c r="AF257921" s="34"/>
    </row>
    <row r="257929" spans="31:32" x14ac:dyDescent="0.25">
      <c r="AE257929" s="36"/>
      <c r="AF257929" s="36"/>
    </row>
    <row r="258025" spans="31:32" x14ac:dyDescent="0.25">
      <c r="AE258025" s="34"/>
      <c r="AF258025" s="34"/>
    </row>
    <row r="258033" spans="31:32" x14ac:dyDescent="0.25">
      <c r="AE258033" s="36"/>
      <c r="AF258033" s="36"/>
    </row>
    <row r="258129" spans="31:32" x14ac:dyDescent="0.25">
      <c r="AE258129" s="34"/>
      <c r="AF258129" s="34"/>
    </row>
    <row r="258137" spans="31:32" x14ac:dyDescent="0.25">
      <c r="AE258137" s="36"/>
      <c r="AF258137" s="36"/>
    </row>
    <row r="258233" spans="31:32" x14ac:dyDescent="0.25">
      <c r="AE258233" s="34"/>
      <c r="AF258233" s="34"/>
    </row>
    <row r="258241" spans="31:32" x14ac:dyDescent="0.25">
      <c r="AE258241" s="36"/>
      <c r="AF258241" s="36"/>
    </row>
    <row r="258337" spans="31:32" x14ac:dyDescent="0.25">
      <c r="AE258337" s="34"/>
      <c r="AF258337" s="34"/>
    </row>
    <row r="258345" spans="31:32" x14ac:dyDescent="0.25">
      <c r="AE258345" s="36"/>
      <c r="AF258345" s="36"/>
    </row>
    <row r="258441" spans="31:32" x14ac:dyDescent="0.25">
      <c r="AE258441" s="34"/>
      <c r="AF258441" s="34"/>
    </row>
    <row r="258449" spans="31:32" x14ac:dyDescent="0.25">
      <c r="AE258449" s="36"/>
      <c r="AF258449" s="36"/>
    </row>
    <row r="258545" spans="31:32" x14ac:dyDescent="0.25">
      <c r="AE258545" s="34"/>
      <c r="AF258545" s="34"/>
    </row>
    <row r="258553" spans="31:32" x14ac:dyDescent="0.25">
      <c r="AE258553" s="36"/>
      <c r="AF258553" s="36"/>
    </row>
    <row r="258649" spans="31:32" x14ac:dyDescent="0.25">
      <c r="AE258649" s="34"/>
      <c r="AF258649" s="34"/>
    </row>
    <row r="258657" spans="31:32" x14ac:dyDescent="0.25">
      <c r="AE258657" s="36"/>
      <c r="AF258657" s="36"/>
    </row>
    <row r="258753" spans="31:32" x14ac:dyDescent="0.25">
      <c r="AE258753" s="34"/>
      <c r="AF258753" s="34"/>
    </row>
    <row r="258761" spans="31:32" x14ac:dyDescent="0.25">
      <c r="AE258761" s="36"/>
      <c r="AF258761" s="36"/>
    </row>
    <row r="258857" spans="31:32" x14ac:dyDescent="0.25">
      <c r="AE258857" s="34"/>
      <c r="AF258857" s="34"/>
    </row>
    <row r="258865" spans="31:32" x14ac:dyDescent="0.25">
      <c r="AE258865" s="36"/>
      <c r="AF258865" s="36"/>
    </row>
    <row r="258961" spans="31:32" x14ac:dyDescent="0.25">
      <c r="AE258961" s="34"/>
      <c r="AF258961" s="34"/>
    </row>
    <row r="258969" spans="31:32" x14ac:dyDescent="0.25">
      <c r="AE258969" s="36"/>
      <c r="AF258969" s="36"/>
    </row>
    <row r="259065" spans="31:32" x14ac:dyDescent="0.25">
      <c r="AE259065" s="34"/>
      <c r="AF259065" s="34"/>
    </row>
    <row r="259073" spans="31:32" x14ac:dyDescent="0.25">
      <c r="AE259073" s="36"/>
      <c r="AF259073" s="36"/>
    </row>
    <row r="259169" spans="31:32" x14ac:dyDescent="0.25">
      <c r="AE259169" s="34"/>
      <c r="AF259169" s="34"/>
    </row>
    <row r="259177" spans="31:32" x14ac:dyDescent="0.25">
      <c r="AE259177" s="36"/>
      <c r="AF259177" s="36"/>
    </row>
    <row r="259273" spans="31:32" x14ac:dyDescent="0.25">
      <c r="AE259273" s="34"/>
      <c r="AF259273" s="34"/>
    </row>
    <row r="259281" spans="31:32" x14ac:dyDescent="0.25">
      <c r="AE259281" s="36"/>
      <c r="AF259281" s="36"/>
    </row>
    <row r="259377" spans="31:32" x14ac:dyDescent="0.25">
      <c r="AE259377" s="34"/>
      <c r="AF259377" s="34"/>
    </row>
    <row r="259385" spans="31:32" x14ac:dyDescent="0.25">
      <c r="AE259385" s="36"/>
      <c r="AF259385" s="36"/>
    </row>
    <row r="259481" spans="31:32" x14ac:dyDescent="0.25">
      <c r="AE259481" s="34"/>
      <c r="AF259481" s="34"/>
    </row>
    <row r="259489" spans="31:32" x14ac:dyDescent="0.25">
      <c r="AE259489" s="36"/>
      <c r="AF259489" s="36"/>
    </row>
    <row r="259585" spans="31:32" x14ac:dyDescent="0.25">
      <c r="AE259585" s="34"/>
      <c r="AF259585" s="34"/>
    </row>
    <row r="259593" spans="31:32" x14ac:dyDescent="0.25">
      <c r="AE259593" s="36"/>
      <c r="AF259593" s="36"/>
    </row>
    <row r="259689" spans="31:32" x14ac:dyDescent="0.25">
      <c r="AE259689" s="34"/>
      <c r="AF259689" s="34"/>
    </row>
    <row r="259697" spans="31:32" x14ac:dyDescent="0.25">
      <c r="AE259697" s="36"/>
      <c r="AF259697" s="36"/>
    </row>
    <row r="259793" spans="31:32" x14ac:dyDescent="0.25">
      <c r="AE259793" s="34"/>
      <c r="AF259793" s="34"/>
    </row>
    <row r="259801" spans="31:32" x14ac:dyDescent="0.25">
      <c r="AE259801" s="36"/>
      <c r="AF259801" s="36"/>
    </row>
    <row r="259897" spans="31:32" x14ac:dyDescent="0.25">
      <c r="AE259897" s="34"/>
      <c r="AF259897" s="34"/>
    </row>
    <row r="259905" spans="31:32" x14ac:dyDescent="0.25">
      <c r="AE259905" s="36"/>
      <c r="AF259905" s="36"/>
    </row>
    <row r="260001" spans="31:32" x14ac:dyDescent="0.25">
      <c r="AE260001" s="34"/>
      <c r="AF260001" s="34"/>
    </row>
    <row r="260009" spans="31:32" x14ac:dyDescent="0.25">
      <c r="AE260009" s="36"/>
      <c r="AF260009" s="36"/>
    </row>
    <row r="260105" spans="31:32" x14ac:dyDescent="0.25">
      <c r="AE260105" s="34"/>
      <c r="AF260105" s="34"/>
    </row>
    <row r="260113" spans="31:32" x14ac:dyDescent="0.25">
      <c r="AE260113" s="36"/>
      <c r="AF260113" s="36"/>
    </row>
    <row r="260209" spans="31:32" x14ac:dyDescent="0.25">
      <c r="AE260209" s="34"/>
      <c r="AF260209" s="34"/>
    </row>
    <row r="260217" spans="31:32" x14ac:dyDescent="0.25">
      <c r="AE260217" s="36"/>
      <c r="AF260217" s="36"/>
    </row>
    <row r="260313" spans="31:32" x14ac:dyDescent="0.25">
      <c r="AE260313" s="34"/>
      <c r="AF260313" s="34"/>
    </row>
    <row r="260321" spans="31:32" x14ac:dyDescent="0.25">
      <c r="AE260321" s="36"/>
      <c r="AF260321" s="36"/>
    </row>
    <row r="260417" spans="31:32" x14ac:dyDescent="0.25">
      <c r="AE260417" s="34"/>
      <c r="AF260417" s="34"/>
    </row>
    <row r="260425" spans="31:32" x14ac:dyDescent="0.25">
      <c r="AE260425" s="36"/>
      <c r="AF260425" s="36"/>
    </row>
    <row r="260521" spans="31:32" x14ac:dyDescent="0.25">
      <c r="AE260521" s="34"/>
      <c r="AF260521" s="34"/>
    </row>
    <row r="260529" spans="31:32" x14ac:dyDescent="0.25">
      <c r="AE260529" s="36"/>
      <c r="AF260529" s="36"/>
    </row>
    <row r="260625" spans="31:32" x14ac:dyDescent="0.25">
      <c r="AE260625" s="34"/>
      <c r="AF260625" s="34"/>
    </row>
    <row r="260633" spans="31:32" x14ac:dyDescent="0.25">
      <c r="AE260633" s="36"/>
      <c r="AF260633" s="36"/>
    </row>
    <row r="260729" spans="31:32" x14ac:dyDescent="0.25">
      <c r="AE260729" s="34"/>
      <c r="AF260729" s="34"/>
    </row>
    <row r="260737" spans="31:32" x14ac:dyDescent="0.25">
      <c r="AE260737" s="36"/>
      <c r="AF260737" s="36"/>
    </row>
    <row r="260833" spans="31:32" x14ac:dyDescent="0.25">
      <c r="AE260833" s="34"/>
      <c r="AF260833" s="34"/>
    </row>
    <row r="260841" spans="31:32" x14ac:dyDescent="0.25">
      <c r="AE260841" s="36"/>
      <c r="AF260841" s="36"/>
    </row>
    <row r="260937" spans="31:32" x14ac:dyDescent="0.25">
      <c r="AE260937" s="34"/>
      <c r="AF260937" s="34"/>
    </row>
    <row r="260945" spans="31:32" x14ac:dyDescent="0.25">
      <c r="AE260945" s="36"/>
      <c r="AF260945" s="36"/>
    </row>
    <row r="261041" spans="31:32" x14ac:dyDescent="0.25">
      <c r="AE261041" s="34"/>
      <c r="AF261041" s="34"/>
    </row>
    <row r="261049" spans="31:32" x14ac:dyDescent="0.25">
      <c r="AE261049" s="36"/>
      <c r="AF261049" s="36"/>
    </row>
    <row r="261145" spans="31:32" x14ac:dyDescent="0.25">
      <c r="AE261145" s="34"/>
      <c r="AF261145" s="34"/>
    </row>
    <row r="261153" spans="31:32" x14ac:dyDescent="0.25">
      <c r="AE261153" s="36"/>
      <c r="AF261153" s="36"/>
    </row>
    <row r="261249" spans="31:32" x14ac:dyDescent="0.25">
      <c r="AE261249" s="34"/>
      <c r="AF261249" s="34"/>
    </row>
    <row r="261257" spans="31:32" x14ac:dyDescent="0.25">
      <c r="AE261257" s="36"/>
      <c r="AF261257" s="36"/>
    </row>
    <row r="261353" spans="31:32" x14ac:dyDescent="0.25">
      <c r="AE261353" s="34"/>
      <c r="AF261353" s="34"/>
    </row>
    <row r="261361" spans="31:32" x14ac:dyDescent="0.25">
      <c r="AE261361" s="36"/>
      <c r="AF261361" s="36"/>
    </row>
    <row r="261457" spans="31:32" x14ac:dyDescent="0.25">
      <c r="AE261457" s="34"/>
      <c r="AF261457" s="34"/>
    </row>
    <row r="261465" spans="31:32" x14ac:dyDescent="0.25">
      <c r="AE261465" s="36"/>
      <c r="AF261465" s="36"/>
    </row>
    <row r="261561" spans="31:32" x14ac:dyDescent="0.25">
      <c r="AE261561" s="34"/>
      <c r="AF261561" s="34"/>
    </row>
    <row r="261569" spans="31:32" x14ac:dyDescent="0.25">
      <c r="AE261569" s="36"/>
      <c r="AF261569" s="36"/>
    </row>
    <row r="261665" spans="31:32" x14ac:dyDescent="0.25">
      <c r="AE261665" s="34"/>
      <c r="AF261665" s="34"/>
    </row>
    <row r="261673" spans="31:32" x14ac:dyDescent="0.25">
      <c r="AE261673" s="36"/>
      <c r="AF261673" s="36"/>
    </row>
    <row r="261769" spans="31:32" x14ac:dyDescent="0.25">
      <c r="AE261769" s="34"/>
      <c r="AF261769" s="34"/>
    </row>
    <row r="261777" spans="31:32" x14ac:dyDescent="0.25">
      <c r="AE261777" s="36"/>
      <c r="AF261777" s="36"/>
    </row>
    <row r="261873" spans="31:32" x14ac:dyDescent="0.25">
      <c r="AE261873" s="34"/>
      <c r="AF261873" s="34"/>
    </row>
    <row r="261881" spans="31:32" x14ac:dyDescent="0.25">
      <c r="AE261881" s="36"/>
      <c r="AF261881" s="36"/>
    </row>
    <row r="261977" spans="31:32" x14ac:dyDescent="0.25">
      <c r="AE261977" s="34"/>
      <c r="AF261977" s="34"/>
    </row>
    <row r="261985" spans="31:32" x14ac:dyDescent="0.25">
      <c r="AE261985" s="36"/>
      <c r="AF261985" s="36"/>
    </row>
    <row r="262081" spans="31:32" x14ac:dyDescent="0.25">
      <c r="AE262081" s="34"/>
      <c r="AF262081" s="34"/>
    </row>
    <row r="262089" spans="31:32" x14ac:dyDescent="0.25">
      <c r="AE262089" s="36"/>
      <c r="AF262089" s="36"/>
    </row>
    <row r="262185" spans="31:32" x14ac:dyDescent="0.25">
      <c r="AE262185" s="34"/>
      <c r="AF262185" s="34"/>
    </row>
    <row r="262193" spans="31:32" x14ac:dyDescent="0.25">
      <c r="AE262193" s="36"/>
      <c r="AF262193" s="36"/>
    </row>
    <row r="262289" spans="31:32" x14ac:dyDescent="0.25">
      <c r="AE262289" s="34"/>
      <c r="AF262289" s="34"/>
    </row>
    <row r="262297" spans="31:32" x14ac:dyDescent="0.25">
      <c r="AE262297" s="36"/>
      <c r="AF262297" s="36"/>
    </row>
    <row r="262393" spans="31:32" x14ac:dyDescent="0.25">
      <c r="AE262393" s="34"/>
      <c r="AF262393" s="34"/>
    </row>
    <row r="262401" spans="31:32" x14ac:dyDescent="0.25">
      <c r="AE262401" s="36"/>
      <c r="AF262401" s="36"/>
    </row>
    <row r="262497" spans="31:32" x14ac:dyDescent="0.25">
      <c r="AE262497" s="34"/>
      <c r="AF262497" s="34"/>
    </row>
    <row r="262505" spans="31:32" x14ac:dyDescent="0.25">
      <c r="AE262505" s="36"/>
      <c r="AF262505" s="36"/>
    </row>
    <row r="262601" spans="31:32" x14ac:dyDescent="0.25">
      <c r="AE262601" s="34"/>
      <c r="AF262601" s="34"/>
    </row>
    <row r="262609" spans="31:32" x14ac:dyDescent="0.25">
      <c r="AE262609" s="36"/>
      <c r="AF262609" s="36"/>
    </row>
    <row r="262705" spans="31:32" x14ac:dyDescent="0.25">
      <c r="AE262705" s="34"/>
      <c r="AF262705" s="34"/>
    </row>
    <row r="262713" spans="31:32" x14ac:dyDescent="0.25">
      <c r="AE262713" s="36"/>
      <c r="AF262713" s="36"/>
    </row>
    <row r="262809" spans="31:32" x14ac:dyDescent="0.25">
      <c r="AE262809" s="34"/>
      <c r="AF262809" s="34"/>
    </row>
    <row r="262817" spans="31:32" x14ac:dyDescent="0.25">
      <c r="AE262817" s="36"/>
      <c r="AF262817" s="36"/>
    </row>
    <row r="262913" spans="31:32" x14ac:dyDescent="0.25">
      <c r="AE262913" s="34"/>
      <c r="AF262913" s="34"/>
    </row>
    <row r="262921" spans="31:32" x14ac:dyDescent="0.25">
      <c r="AE262921" s="36"/>
      <c r="AF262921" s="36"/>
    </row>
    <row r="263017" spans="31:32" x14ac:dyDescent="0.25">
      <c r="AE263017" s="34"/>
      <c r="AF263017" s="34"/>
    </row>
    <row r="263025" spans="31:32" x14ac:dyDescent="0.25">
      <c r="AE263025" s="36"/>
      <c r="AF263025" s="36"/>
    </row>
    <row r="263121" spans="31:32" x14ac:dyDescent="0.25">
      <c r="AE263121" s="34"/>
      <c r="AF263121" s="34"/>
    </row>
    <row r="263129" spans="31:32" x14ac:dyDescent="0.25">
      <c r="AE263129" s="36"/>
      <c r="AF263129" s="36"/>
    </row>
    <row r="263225" spans="31:32" x14ac:dyDescent="0.25">
      <c r="AE263225" s="34"/>
      <c r="AF263225" s="34"/>
    </row>
    <row r="263233" spans="31:32" x14ac:dyDescent="0.25">
      <c r="AE263233" s="36"/>
      <c r="AF263233" s="36"/>
    </row>
    <row r="263329" spans="31:32" x14ac:dyDescent="0.25">
      <c r="AE263329" s="34"/>
      <c r="AF263329" s="34"/>
    </row>
    <row r="263337" spans="31:32" x14ac:dyDescent="0.25">
      <c r="AE263337" s="36"/>
      <c r="AF263337" s="36"/>
    </row>
    <row r="263433" spans="31:32" x14ac:dyDescent="0.25">
      <c r="AE263433" s="34"/>
      <c r="AF263433" s="34"/>
    </row>
    <row r="263441" spans="31:32" x14ac:dyDescent="0.25">
      <c r="AE263441" s="36"/>
      <c r="AF263441" s="36"/>
    </row>
    <row r="263537" spans="31:32" x14ac:dyDescent="0.25">
      <c r="AE263537" s="34"/>
      <c r="AF263537" s="34"/>
    </row>
    <row r="263545" spans="31:32" x14ac:dyDescent="0.25">
      <c r="AE263545" s="36"/>
      <c r="AF263545" s="36"/>
    </row>
    <row r="263641" spans="31:32" x14ac:dyDescent="0.25">
      <c r="AE263641" s="34"/>
      <c r="AF263641" s="34"/>
    </row>
    <row r="263649" spans="31:32" x14ac:dyDescent="0.25">
      <c r="AE263649" s="36"/>
      <c r="AF263649" s="36"/>
    </row>
    <row r="263745" spans="31:32" x14ac:dyDescent="0.25">
      <c r="AE263745" s="34"/>
      <c r="AF263745" s="34"/>
    </row>
    <row r="263753" spans="31:32" x14ac:dyDescent="0.25">
      <c r="AE263753" s="36"/>
      <c r="AF263753" s="36"/>
    </row>
    <row r="263849" spans="31:32" x14ac:dyDescent="0.25">
      <c r="AE263849" s="34"/>
      <c r="AF263849" s="34"/>
    </row>
    <row r="263857" spans="31:32" x14ac:dyDescent="0.25">
      <c r="AE263857" s="36"/>
      <c r="AF263857" s="36"/>
    </row>
    <row r="263953" spans="31:32" x14ac:dyDescent="0.25">
      <c r="AE263953" s="34"/>
      <c r="AF263953" s="34"/>
    </row>
    <row r="263961" spans="31:32" x14ac:dyDescent="0.25">
      <c r="AE263961" s="36"/>
      <c r="AF263961" s="36"/>
    </row>
    <row r="264057" spans="31:32" x14ac:dyDescent="0.25">
      <c r="AE264057" s="34"/>
      <c r="AF264057" s="34"/>
    </row>
    <row r="264065" spans="31:32" x14ac:dyDescent="0.25">
      <c r="AE264065" s="36"/>
      <c r="AF264065" s="36"/>
    </row>
    <row r="264161" spans="31:32" x14ac:dyDescent="0.25">
      <c r="AE264161" s="34"/>
      <c r="AF264161" s="34"/>
    </row>
    <row r="264169" spans="31:32" x14ac:dyDescent="0.25">
      <c r="AE264169" s="36"/>
      <c r="AF264169" s="36"/>
    </row>
    <row r="264265" spans="31:32" x14ac:dyDescent="0.25">
      <c r="AE264265" s="34"/>
      <c r="AF264265" s="34"/>
    </row>
    <row r="264273" spans="31:32" x14ac:dyDescent="0.25">
      <c r="AE264273" s="36"/>
      <c r="AF264273" s="36"/>
    </row>
    <row r="264369" spans="31:32" x14ac:dyDescent="0.25">
      <c r="AE264369" s="34"/>
      <c r="AF264369" s="34"/>
    </row>
    <row r="264377" spans="31:32" x14ac:dyDescent="0.25">
      <c r="AE264377" s="36"/>
      <c r="AF264377" s="36"/>
    </row>
    <row r="264473" spans="31:32" x14ac:dyDescent="0.25">
      <c r="AE264473" s="34"/>
      <c r="AF264473" s="34"/>
    </row>
    <row r="264481" spans="31:32" x14ac:dyDescent="0.25">
      <c r="AE264481" s="36"/>
      <c r="AF264481" s="36"/>
    </row>
    <row r="264577" spans="31:32" x14ac:dyDescent="0.25">
      <c r="AE264577" s="34"/>
      <c r="AF264577" s="34"/>
    </row>
    <row r="264585" spans="31:32" x14ac:dyDescent="0.25">
      <c r="AE264585" s="36"/>
      <c r="AF264585" s="36"/>
    </row>
    <row r="264681" spans="31:32" x14ac:dyDescent="0.25">
      <c r="AE264681" s="34"/>
      <c r="AF264681" s="34"/>
    </row>
    <row r="264689" spans="31:32" x14ac:dyDescent="0.25">
      <c r="AE264689" s="36"/>
      <c r="AF264689" s="36"/>
    </row>
    <row r="264785" spans="31:32" x14ac:dyDescent="0.25">
      <c r="AE264785" s="34"/>
      <c r="AF264785" s="34"/>
    </row>
    <row r="264793" spans="31:32" x14ac:dyDescent="0.25">
      <c r="AE264793" s="36"/>
      <c r="AF264793" s="36"/>
    </row>
    <row r="264889" spans="31:32" x14ac:dyDescent="0.25">
      <c r="AE264889" s="34"/>
      <c r="AF264889" s="34"/>
    </row>
    <row r="264897" spans="31:32" x14ac:dyDescent="0.25">
      <c r="AE264897" s="36"/>
      <c r="AF264897" s="36"/>
    </row>
    <row r="264993" spans="31:32" x14ac:dyDescent="0.25">
      <c r="AE264993" s="34"/>
      <c r="AF264993" s="34"/>
    </row>
    <row r="265001" spans="31:32" x14ac:dyDescent="0.25">
      <c r="AE265001" s="36"/>
      <c r="AF265001" s="36"/>
    </row>
    <row r="265097" spans="31:32" x14ac:dyDescent="0.25">
      <c r="AE265097" s="34"/>
      <c r="AF265097" s="34"/>
    </row>
    <row r="265105" spans="31:32" x14ac:dyDescent="0.25">
      <c r="AE265105" s="36"/>
      <c r="AF265105" s="36"/>
    </row>
    <row r="265201" spans="31:32" x14ac:dyDescent="0.25">
      <c r="AE265201" s="34"/>
      <c r="AF265201" s="34"/>
    </row>
    <row r="265209" spans="31:32" x14ac:dyDescent="0.25">
      <c r="AE265209" s="36"/>
      <c r="AF265209" s="36"/>
    </row>
    <row r="265305" spans="31:32" x14ac:dyDescent="0.25">
      <c r="AE265305" s="34"/>
      <c r="AF265305" s="34"/>
    </row>
    <row r="265313" spans="31:32" x14ac:dyDescent="0.25">
      <c r="AE265313" s="36"/>
      <c r="AF265313" s="36"/>
    </row>
    <row r="265409" spans="31:32" x14ac:dyDescent="0.25">
      <c r="AE265409" s="34"/>
      <c r="AF265409" s="34"/>
    </row>
    <row r="265417" spans="31:32" x14ac:dyDescent="0.25">
      <c r="AE265417" s="36"/>
      <c r="AF265417" s="36"/>
    </row>
    <row r="265513" spans="31:32" x14ac:dyDescent="0.25">
      <c r="AE265513" s="34"/>
      <c r="AF265513" s="34"/>
    </row>
    <row r="265521" spans="31:32" x14ac:dyDescent="0.25">
      <c r="AE265521" s="36"/>
      <c r="AF265521" s="36"/>
    </row>
    <row r="265617" spans="31:32" x14ac:dyDescent="0.25">
      <c r="AE265617" s="34"/>
      <c r="AF265617" s="34"/>
    </row>
    <row r="265625" spans="31:32" x14ac:dyDescent="0.25">
      <c r="AE265625" s="36"/>
      <c r="AF265625" s="36"/>
    </row>
    <row r="265721" spans="31:32" x14ac:dyDescent="0.25">
      <c r="AE265721" s="34"/>
      <c r="AF265721" s="34"/>
    </row>
    <row r="265729" spans="31:32" x14ac:dyDescent="0.25">
      <c r="AE265729" s="36"/>
      <c r="AF265729" s="36"/>
    </row>
    <row r="265825" spans="31:32" x14ac:dyDescent="0.25">
      <c r="AE265825" s="34"/>
      <c r="AF265825" s="34"/>
    </row>
    <row r="265833" spans="31:32" x14ac:dyDescent="0.25">
      <c r="AE265833" s="36"/>
      <c r="AF265833" s="36"/>
    </row>
    <row r="265929" spans="31:32" x14ac:dyDescent="0.25">
      <c r="AE265929" s="34"/>
      <c r="AF265929" s="34"/>
    </row>
    <row r="265937" spans="31:32" x14ac:dyDescent="0.25">
      <c r="AE265937" s="36"/>
      <c r="AF265937" s="36"/>
    </row>
    <row r="266033" spans="31:32" x14ac:dyDescent="0.25">
      <c r="AE266033" s="34"/>
      <c r="AF266033" s="34"/>
    </row>
    <row r="266041" spans="31:32" x14ac:dyDescent="0.25">
      <c r="AE266041" s="36"/>
      <c r="AF266041" s="36"/>
    </row>
    <row r="266137" spans="31:32" x14ac:dyDescent="0.25">
      <c r="AE266137" s="34"/>
      <c r="AF266137" s="34"/>
    </row>
    <row r="266145" spans="31:32" x14ac:dyDescent="0.25">
      <c r="AE266145" s="36"/>
      <c r="AF266145" s="36"/>
    </row>
    <row r="266241" spans="31:32" x14ac:dyDescent="0.25">
      <c r="AE266241" s="34"/>
      <c r="AF266241" s="34"/>
    </row>
    <row r="266249" spans="31:32" x14ac:dyDescent="0.25">
      <c r="AE266249" s="36"/>
      <c r="AF266249" s="36"/>
    </row>
    <row r="266345" spans="31:32" x14ac:dyDescent="0.25">
      <c r="AE266345" s="34"/>
      <c r="AF266345" s="34"/>
    </row>
    <row r="266353" spans="31:32" x14ac:dyDescent="0.25">
      <c r="AE266353" s="36"/>
      <c r="AF266353" s="36"/>
    </row>
    <row r="266449" spans="31:32" x14ac:dyDescent="0.25">
      <c r="AE266449" s="34"/>
      <c r="AF266449" s="34"/>
    </row>
    <row r="266457" spans="31:32" x14ac:dyDescent="0.25">
      <c r="AE266457" s="36"/>
      <c r="AF266457" s="36"/>
    </row>
    <row r="266553" spans="31:32" x14ac:dyDescent="0.25">
      <c r="AE266553" s="34"/>
      <c r="AF266553" s="34"/>
    </row>
    <row r="266561" spans="31:32" x14ac:dyDescent="0.25">
      <c r="AE266561" s="36"/>
      <c r="AF266561" s="36"/>
    </row>
    <row r="266657" spans="31:32" x14ac:dyDescent="0.25">
      <c r="AE266657" s="34"/>
      <c r="AF266657" s="34"/>
    </row>
    <row r="266665" spans="31:32" x14ac:dyDescent="0.25">
      <c r="AE266665" s="36"/>
      <c r="AF266665" s="36"/>
    </row>
    <row r="266761" spans="31:32" x14ac:dyDescent="0.25">
      <c r="AE266761" s="34"/>
      <c r="AF266761" s="34"/>
    </row>
    <row r="266769" spans="31:32" x14ac:dyDescent="0.25">
      <c r="AE266769" s="36"/>
      <c r="AF266769" s="36"/>
    </row>
    <row r="266865" spans="31:32" x14ac:dyDescent="0.25">
      <c r="AE266865" s="34"/>
      <c r="AF266865" s="34"/>
    </row>
    <row r="266873" spans="31:32" x14ac:dyDescent="0.25">
      <c r="AE266873" s="36"/>
      <c r="AF266873" s="36"/>
    </row>
    <row r="266969" spans="31:32" x14ac:dyDescent="0.25">
      <c r="AE266969" s="34"/>
      <c r="AF266969" s="34"/>
    </row>
    <row r="266977" spans="31:32" x14ac:dyDescent="0.25">
      <c r="AE266977" s="36"/>
      <c r="AF266977" s="36"/>
    </row>
    <row r="267073" spans="31:32" x14ac:dyDescent="0.25">
      <c r="AE267073" s="34"/>
      <c r="AF267073" s="34"/>
    </row>
    <row r="267081" spans="31:32" x14ac:dyDescent="0.25">
      <c r="AE267081" s="36"/>
      <c r="AF267081" s="36"/>
    </row>
    <row r="267177" spans="31:32" x14ac:dyDescent="0.25">
      <c r="AE267177" s="34"/>
      <c r="AF267177" s="34"/>
    </row>
    <row r="267185" spans="31:32" x14ac:dyDescent="0.25">
      <c r="AE267185" s="36"/>
      <c r="AF267185" s="36"/>
    </row>
    <row r="267281" spans="31:32" x14ac:dyDescent="0.25">
      <c r="AE267281" s="34"/>
      <c r="AF267281" s="34"/>
    </row>
    <row r="267289" spans="31:32" x14ac:dyDescent="0.25">
      <c r="AE267289" s="36"/>
      <c r="AF267289" s="36"/>
    </row>
    <row r="267385" spans="31:32" x14ac:dyDescent="0.25">
      <c r="AE267385" s="34"/>
      <c r="AF267385" s="34"/>
    </row>
    <row r="267393" spans="31:32" x14ac:dyDescent="0.25">
      <c r="AE267393" s="36"/>
      <c r="AF267393" s="36"/>
    </row>
    <row r="267489" spans="31:32" x14ac:dyDescent="0.25">
      <c r="AE267489" s="34"/>
      <c r="AF267489" s="34"/>
    </row>
    <row r="267497" spans="31:32" x14ac:dyDescent="0.25">
      <c r="AE267497" s="36"/>
      <c r="AF267497" s="36"/>
    </row>
    <row r="267593" spans="31:32" x14ac:dyDescent="0.25">
      <c r="AE267593" s="34"/>
      <c r="AF267593" s="34"/>
    </row>
    <row r="267601" spans="31:32" x14ac:dyDescent="0.25">
      <c r="AE267601" s="36"/>
      <c r="AF267601" s="36"/>
    </row>
    <row r="267697" spans="31:32" x14ac:dyDescent="0.25">
      <c r="AE267697" s="34"/>
      <c r="AF267697" s="34"/>
    </row>
    <row r="267705" spans="31:32" x14ac:dyDescent="0.25">
      <c r="AE267705" s="36"/>
      <c r="AF267705" s="36"/>
    </row>
    <row r="267801" spans="31:32" x14ac:dyDescent="0.25">
      <c r="AE267801" s="34"/>
      <c r="AF267801" s="34"/>
    </row>
    <row r="267809" spans="31:32" x14ac:dyDescent="0.25">
      <c r="AE267809" s="36"/>
      <c r="AF267809" s="36"/>
    </row>
    <row r="267905" spans="31:32" x14ac:dyDescent="0.25">
      <c r="AE267905" s="34"/>
      <c r="AF267905" s="34"/>
    </row>
    <row r="267913" spans="31:32" x14ac:dyDescent="0.25">
      <c r="AE267913" s="36"/>
      <c r="AF267913" s="36"/>
    </row>
    <row r="268009" spans="31:32" x14ac:dyDescent="0.25">
      <c r="AE268009" s="34"/>
      <c r="AF268009" s="34"/>
    </row>
    <row r="268017" spans="31:32" x14ac:dyDescent="0.25">
      <c r="AE268017" s="36"/>
      <c r="AF268017" s="36"/>
    </row>
    <row r="268113" spans="31:32" x14ac:dyDescent="0.25">
      <c r="AE268113" s="34"/>
      <c r="AF268113" s="34"/>
    </row>
    <row r="268121" spans="31:32" x14ac:dyDescent="0.25">
      <c r="AE268121" s="36"/>
      <c r="AF268121" s="36"/>
    </row>
    <row r="268217" spans="31:32" x14ac:dyDescent="0.25">
      <c r="AE268217" s="34"/>
      <c r="AF268217" s="34"/>
    </row>
    <row r="268225" spans="31:32" x14ac:dyDescent="0.25">
      <c r="AE268225" s="36"/>
      <c r="AF268225" s="36"/>
    </row>
    <row r="268321" spans="31:32" x14ac:dyDescent="0.25">
      <c r="AE268321" s="34"/>
      <c r="AF268321" s="34"/>
    </row>
    <row r="268329" spans="31:32" x14ac:dyDescent="0.25">
      <c r="AE268329" s="36"/>
      <c r="AF268329" s="36"/>
    </row>
    <row r="268425" spans="31:32" x14ac:dyDescent="0.25">
      <c r="AE268425" s="34"/>
      <c r="AF268425" s="34"/>
    </row>
    <row r="268433" spans="31:32" x14ac:dyDescent="0.25">
      <c r="AE268433" s="36"/>
      <c r="AF268433" s="36"/>
    </row>
    <row r="268529" spans="31:32" x14ac:dyDescent="0.25">
      <c r="AE268529" s="34"/>
      <c r="AF268529" s="34"/>
    </row>
    <row r="268537" spans="31:32" x14ac:dyDescent="0.25">
      <c r="AE268537" s="36"/>
      <c r="AF268537" s="36"/>
    </row>
    <row r="268633" spans="31:32" x14ac:dyDescent="0.25">
      <c r="AE268633" s="34"/>
      <c r="AF268633" s="34"/>
    </row>
    <row r="268641" spans="31:32" x14ac:dyDescent="0.25">
      <c r="AE268641" s="36"/>
      <c r="AF268641" s="36"/>
    </row>
    <row r="268737" spans="31:32" x14ac:dyDescent="0.25">
      <c r="AE268737" s="34"/>
      <c r="AF268737" s="34"/>
    </row>
    <row r="268745" spans="31:32" x14ac:dyDescent="0.25">
      <c r="AE268745" s="36"/>
      <c r="AF268745" s="36"/>
    </row>
    <row r="268841" spans="31:32" x14ac:dyDescent="0.25">
      <c r="AE268841" s="34"/>
      <c r="AF268841" s="34"/>
    </row>
    <row r="268849" spans="31:32" x14ac:dyDescent="0.25">
      <c r="AE268849" s="36"/>
      <c r="AF268849" s="36"/>
    </row>
    <row r="268945" spans="31:32" x14ac:dyDescent="0.25">
      <c r="AE268945" s="34"/>
      <c r="AF268945" s="34"/>
    </row>
    <row r="268953" spans="31:32" x14ac:dyDescent="0.25">
      <c r="AE268953" s="36"/>
      <c r="AF268953" s="36"/>
    </row>
    <row r="269049" spans="31:32" x14ac:dyDescent="0.25">
      <c r="AE269049" s="34"/>
      <c r="AF269049" s="34"/>
    </row>
    <row r="269057" spans="31:32" x14ac:dyDescent="0.25">
      <c r="AE269057" s="36"/>
      <c r="AF269057" s="36"/>
    </row>
    <row r="269153" spans="31:32" x14ac:dyDescent="0.25">
      <c r="AE269153" s="34"/>
      <c r="AF269153" s="34"/>
    </row>
    <row r="269161" spans="31:32" x14ac:dyDescent="0.25">
      <c r="AE269161" s="36"/>
      <c r="AF269161" s="36"/>
    </row>
    <row r="269257" spans="31:32" x14ac:dyDescent="0.25">
      <c r="AE269257" s="34"/>
      <c r="AF269257" s="34"/>
    </row>
    <row r="269265" spans="31:32" x14ac:dyDescent="0.25">
      <c r="AE269265" s="36"/>
      <c r="AF269265" s="36"/>
    </row>
    <row r="269361" spans="31:32" x14ac:dyDescent="0.25">
      <c r="AE269361" s="34"/>
      <c r="AF269361" s="34"/>
    </row>
    <row r="269369" spans="31:32" x14ac:dyDescent="0.25">
      <c r="AE269369" s="36"/>
      <c r="AF269369" s="36"/>
    </row>
    <row r="269465" spans="31:32" x14ac:dyDescent="0.25">
      <c r="AE269465" s="34"/>
      <c r="AF269465" s="34"/>
    </row>
    <row r="269473" spans="31:32" x14ac:dyDescent="0.25">
      <c r="AE269473" s="36"/>
      <c r="AF269473" s="36"/>
    </row>
    <row r="269569" spans="31:32" x14ac:dyDescent="0.25">
      <c r="AE269569" s="34"/>
      <c r="AF269569" s="34"/>
    </row>
    <row r="269577" spans="31:32" x14ac:dyDescent="0.25">
      <c r="AE269577" s="36"/>
      <c r="AF269577" s="36"/>
    </row>
    <row r="269673" spans="31:32" x14ac:dyDescent="0.25">
      <c r="AE269673" s="34"/>
      <c r="AF269673" s="34"/>
    </row>
    <row r="269681" spans="31:32" x14ac:dyDescent="0.25">
      <c r="AE269681" s="36"/>
      <c r="AF269681" s="36"/>
    </row>
    <row r="269777" spans="31:32" x14ac:dyDescent="0.25">
      <c r="AE269777" s="34"/>
      <c r="AF269777" s="34"/>
    </row>
    <row r="269785" spans="31:32" x14ac:dyDescent="0.25">
      <c r="AE269785" s="36"/>
      <c r="AF269785" s="36"/>
    </row>
    <row r="269881" spans="31:32" x14ac:dyDescent="0.25">
      <c r="AE269881" s="34"/>
      <c r="AF269881" s="34"/>
    </row>
    <row r="269889" spans="31:32" x14ac:dyDescent="0.25">
      <c r="AE269889" s="36"/>
      <c r="AF269889" s="36"/>
    </row>
    <row r="269985" spans="31:32" x14ac:dyDescent="0.25">
      <c r="AE269985" s="34"/>
      <c r="AF269985" s="34"/>
    </row>
    <row r="269993" spans="31:32" x14ac:dyDescent="0.25">
      <c r="AE269993" s="36"/>
      <c r="AF269993" s="36"/>
    </row>
    <row r="270089" spans="31:32" x14ac:dyDescent="0.25">
      <c r="AE270089" s="34"/>
      <c r="AF270089" s="34"/>
    </row>
    <row r="270097" spans="31:32" x14ac:dyDescent="0.25">
      <c r="AE270097" s="36"/>
      <c r="AF270097" s="36"/>
    </row>
    <row r="270193" spans="31:32" x14ac:dyDescent="0.25">
      <c r="AE270193" s="34"/>
      <c r="AF270193" s="34"/>
    </row>
    <row r="270201" spans="31:32" x14ac:dyDescent="0.25">
      <c r="AE270201" s="36"/>
      <c r="AF270201" s="36"/>
    </row>
    <row r="270297" spans="31:32" x14ac:dyDescent="0.25">
      <c r="AE270297" s="34"/>
      <c r="AF270297" s="34"/>
    </row>
    <row r="270305" spans="31:32" x14ac:dyDescent="0.25">
      <c r="AE270305" s="36"/>
      <c r="AF270305" s="36"/>
    </row>
    <row r="270401" spans="31:32" x14ac:dyDescent="0.25">
      <c r="AE270401" s="34"/>
      <c r="AF270401" s="34"/>
    </row>
    <row r="270409" spans="31:32" x14ac:dyDescent="0.25">
      <c r="AE270409" s="36"/>
      <c r="AF270409" s="36"/>
    </row>
    <row r="270505" spans="31:32" x14ac:dyDescent="0.25">
      <c r="AE270505" s="34"/>
      <c r="AF270505" s="34"/>
    </row>
    <row r="270513" spans="31:32" x14ac:dyDescent="0.25">
      <c r="AE270513" s="36"/>
      <c r="AF270513" s="36"/>
    </row>
    <row r="270609" spans="31:32" x14ac:dyDescent="0.25">
      <c r="AE270609" s="34"/>
      <c r="AF270609" s="34"/>
    </row>
    <row r="270617" spans="31:32" x14ac:dyDescent="0.25">
      <c r="AE270617" s="36"/>
      <c r="AF270617" s="36"/>
    </row>
    <row r="270713" spans="31:32" x14ac:dyDescent="0.25">
      <c r="AE270713" s="34"/>
      <c r="AF270713" s="34"/>
    </row>
    <row r="270721" spans="31:32" x14ac:dyDescent="0.25">
      <c r="AE270721" s="36"/>
      <c r="AF270721" s="36"/>
    </row>
    <row r="270817" spans="31:32" x14ac:dyDescent="0.25">
      <c r="AE270817" s="34"/>
      <c r="AF270817" s="34"/>
    </row>
    <row r="270825" spans="31:32" x14ac:dyDescent="0.25">
      <c r="AE270825" s="36"/>
      <c r="AF270825" s="36"/>
    </row>
    <row r="270921" spans="31:32" x14ac:dyDescent="0.25">
      <c r="AE270921" s="34"/>
      <c r="AF270921" s="34"/>
    </row>
    <row r="270929" spans="31:32" x14ac:dyDescent="0.25">
      <c r="AE270929" s="36"/>
      <c r="AF270929" s="36"/>
    </row>
    <row r="271025" spans="31:32" x14ac:dyDescent="0.25">
      <c r="AE271025" s="34"/>
      <c r="AF271025" s="34"/>
    </row>
    <row r="271033" spans="31:32" x14ac:dyDescent="0.25">
      <c r="AE271033" s="36"/>
      <c r="AF271033" s="36"/>
    </row>
    <row r="271129" spans="31:32" x14ac:dyDescent="0.25">
      <c r="AE271129" s="34"/>
      <c r="AF271129" s="34"/>
    </row>
    <row r="271137" spans="31:32" x14ac:dyDescent="0.25">
      <c r="AE271137" s="36"/>
      <c r="AF271137" s="36"/>
    </row>
    <row r="271233" spans="31:32" x14ac:dyDescent="0.25">
      <c r="AE271233" s="34"/>
      <c r="AF271233" s="34"/>
    </row>
    <row r="271241" spans="31:32" x14ac:dyDescent="0.25">
      <c r="AE271241" s="36"/>
      <c r="AF271241" s="36"/>
    </row>
    <row r="271337" spans="31:32" x14ac:dyDescent="0.25">
      <c r="AE271337" s="34"/>
      <c r="AF271337" s="34"/>
    </row>
    <row r="271345" spans="31:32" x14ac:dyDescent="0.25">
      <c r="AE271345" s="36"/>
      <c r="AF271345" s="36"/>
    </row>
    <row r="271441" spans="31:32" x14ac:dyDescent="0.25">
      <c r="AE271441" s="34"/>
      <c r="AF271441" s="34"/>
    </row>
    <row r="271449" spans="31:32" x14ac:dyDescent="0.25">
      <c r="AE271449" s="36"/>
      <c r="AF271449" s="36"/>
    </row>
    <row r="271545" spans="31:32" x14ac:dyDescent="0.25">
      <c r="AE271545" s="34"/>
      <c r="AF271545" s="34"/>
    </row>
    <row r="271553" spans="31:32" x14ac:dyDescent="0.25">
      <c r="AE271553" s="36"/>
      <c r="AF271553" s="36"/>
    </row>
    <row r="271649" spans="31:32" x14ac:dyDescent="0.25">
      <c r="AE271649" s="34"/>
      <c r="AF271649" s="34"/>
    </row>
    <row r="271657" spans="31:32" x14ac:dyDescent="0.25">
      <c r="AE271657" s="36"/>
      <c r="AF271657" s="36"/>
    </row>
    <row r="271753" spans="31:32" x14ac:dyDescent="0.25">
      <c r="AE271753" s="34"/>
      <c r="AF271753" s="34"/>
    </row>
    <row r="271761" spans="31:32" x14ac:dyDescent="0.25">
      <c r="AE271761" s="36"/>
      <c r="AF271761" s="36"/>
    </row>
    <row r="271857" spans="31:32" x14ac:dyDescent="0.25">
      <c r="AE271857" s="34"/>
      <c r="AF271857" s="34"/>
    </row>
    <row r="271865" spans="31:32" x14ac:dyDescent="0.25">
      <c r="AE271865" s="36"/>
      <c r="AF271865" s="36"/>
    </row>
    <row r="271961" spans="31:32" x14ac:dyDescent="0.25">
      <c r="AE271961" s="34"/>
      <c r="AF271961" s="34"/>
    </row>
    <row r="271969" spans="31:32" x14ac:dyDescent="0.25">
      <c r="AE271969" s="36"/>
      <c r="AF271969" s="36"/>
    </row>
    <row r="272065" spans="31:32" x14ac:dyDescent="0.25">
      <c r="AE272065" s="34"/>
      <c r="AF272065" s="34"/>
    </row>
    <row r="272073" spans="31:32" x14ac:dyDescent="0.25">
      <c r="AE272073" s="36"/>
      <c r="AF272073" s="36"/>
    </row>
    <row r="272169" spans="31:32" x14ac:dyDescent="0.25">
      <c r="AE272169" s="34"/>
      <c r="AF272169" s="34"/>
    </row>
    <row r="272177" spans="31:32" x14ac:dyDescent="0.25">
      <c r="AE272177" s="36"/>
      <c r="AF272177" s="36"/>
    </row>
    <row r="272273" spans="31:32" x14ac:dyDescent="0.25">
      <c r="AE272273" s="34"/>
      <c r="AF272273" s="34"/>
    </row>
    <row r="272281" spans="31:32" x14ac:dyDescent="0.25">
      <c r="AE272281" s="36"/>
      <c r="AF272281" s="36"/>
    </row>
    <row r="272377" spans="31:32" x14ac:dyDescent="0.25">
      <c r="AE272377" s="34"/>
      <c r="AF272377" s="34"/>
    </row>
    <row r="272385" spans="31:32" x14ac:dyDescent="0.25">
      <c r="AE272385" s="36"/>
      <c r="AF272385" s="36"/>
    </row>
    <row r="272481" spans="31:32" x14ac:dyDescent="0.25">
      <c r="AE272481" s="34"/>
      <c r="AF272481" s="34"/>
    </row>
    <row r="272489" spans="31:32" x14ac:dyDescent="0.25">
      <c r="AE272489" s="36"/>
      <c r="AF272489" s="36"/>
    </row>
    <row r="272585" spans="31:32" x14ac:dyDescent="0.25">
      <c r="AE272585" s="34"/>
      <c r="AF272585" s="34"/>
    </row>
    <row r="272593" spans="31:32" x14ac:dyDescent="0.25">
      <c r="AE272593" s="36"/>
      <c r="AF272593" s="36"/>
    </row>
    <row r="272689" spans="31:32" x14ac:dyDescent="0.25">
      <c r="AE272689" s="34"/>
      <c r="AF272689" s="34"/>
    </row>
    <row r="272697" spans="31:32" x14ac:dyDescent="0.25">
      <c r="AE272697" s="36"/>
      <c r="AF272697" s="36"/>
    </row>
    <row r="272793" spans="31:32" x14ac:dyDescent="0.25">
      <c r="AE272793" s="34"/>
      <c r="AF272793" s="34"/>
    </row>
    <row r="272801" spans="31:32" x14ac:dyDescent="0.25">
      <c r="AE272801" s="36"/>
      <c r="AF272801" s="36"/>
    </row>
    <row r="272897" spans="31:32" x14ac:dyDescent="0.25">
      <c r="AE272897" s="34"/>
      <c r="AF272897" s="34"/>
    </row>
    <row r="272905" spans="31:32" x14ac:dyDescent="0.25">
      <c r="AE272905" s="36"/>
      <c r="AF272905" s="36"/>
    </row>
    <row r="273001" spans="31:32" x14ac:dyDescent="0.25">
      <c r="AE273001" s="34"/>
      <c r="AF273001" s="34"/>
    </row>
    <row r="273009" spans="31:32" x14ac:dyDescent="0.25">
      <c r="AE273009" s="36"/>
      <c r="AF273009" s="36"/>
    </row>
    <row r="273105" spans="31:32" x14ac:dyDescent="0.25">
      <c r="AE273105" s="34"/>
      <c r="AF273105" s="34"/>
    </row>
    <row r="273113" spans="31:32" x14ac:dyDescent="0.25">
      <c r="AE273113" s="36"/>
      <c r="AF273113" s="36"/>
    </row>
    <row r="273209" spans="31:32" x14ac:dyDescent="0.25">
      <c r="AE273209" s="34"/>
      <c r="AF273209" s="34"/>
    </row>
    <row r="273217" spans="31:32" x14ac:dyDescent="0.25">
      <c r="AE273217" s="36"/>
      <c r="AF273217" s="36"/>
    </row>
    <row r="273313" spans="31:32" x14ac:dyDescent="0.25">
      <c r="AE273313" s="34"/>
      <c r="AF273313" s="34"/>
    </row>
    <row r="273321" spans="31:32" x14ac:dyDescent="0.25">
      <c r="AE273321" s="36"/>
      <c r="AF273321" s="36"/>
    </row>
    <row r="273417" spans="31:32" x14ac:dyDescent="0.25">
      <c r="AE273417" s="34"/>
      <c r="AF273417" s="34"/>
    </row>
    <row r="273425" spans="31:32" x14ac:dyDescent="0.25">
      <c r="AE273425" s="36"/>
      <c r="AF273425" s="36"/>
    </row>
    <row r="273521" spans="31:32" x14ac:dyDescent="0.25">
      <c r="AE273521" s="34"/>
      <c r="AF273521" s="34"/>
    </row>
    <row r="273529" spans="31:32" x14ac:dyDescent="0.25">
      <c r="AE273529" s="36"/>
      <c r="AF273529" s="36"/>
    </row>
    <row r="273625" spans="31:32" x14ac:dyDescent="0.25">
      <c r="AE273625" s="34"/>
      <c r="AF273625" s="34"/>
    </row>
    <row r="273633" spans="31:32" x14ac:dyDescent="0.25">
      <c r="AE273633" s="36"/>
      <c r="AF273633" s="36"/>
    </row>
    <row r="273729" spans="31:32" x14ac:dyDescent="0.25">
      <c r="AE273729" s="34"/>
      <c r="AF273729" s="34"/>
    </row>
    <row r="273737" spans="31:32" x14ac:dyDescent="0.25">
      <c r="AE273737" s="36"/>
      <c r="AF273737" s="36"/>
    </row>
    <row r="273833" spans="31:32" x14ac:dyDescent="0.25">
      <c r="AE273833" s="34"/>
      <c r="AF273833" s="34"/>
    </row>
    <row r="273841" spans="31:32" x14ac:dyDescent="0.25">
      <c r="AE273841" s="36"/>
      <c r="AF273841" s="36"/>
    </row>
    <row r="273937" spans="31:32" x14ac:dyDescent="0.25">
      <c r="AE273937" s="34"/>
      <c r="AF273937" s="34"/>
    </row>
    <row r="273945" spans="31:32" x14ac:dyDescent="0.25">
      <c r="AE273945" s="36"/>
      <c r="AF273945" s="36"/>
    </row>
    <row r="274041" spans="31:32" x14ac:dyDescent="0.25">
      <c r="AE274041" s="34"/>
      <c r="AF274041" s="34"/>
    </row>
    <row r="274049" spans="31:32" x14ac:dyDescent="0.25">
      <c r="AE274049" s="36"/>
      <c r="AF274049" s="36"/>
    </row>
    <row r="274145" spans="31:32" x14ac:dyDescent="0.25">
      <c r="AE274145" s="34"/>
      <c r="AF274145" s="34"/>
    </row>
    <row r="274153" spans="31:32" x14ac:dyDescent="0.25">
      <c r="AE274153" s="36"/>
      <c r="AF274153" s="36"/>
    </row>
    <row r="274249" spans="31:32" x14ac:dyDescent="0.25">
      <c r="AE274249" s="34"/>
      <c r="AF274249" s="34"/>
    </row>
    <row r="274257" spans="31:32" x14ac:dyDescent="0.25">
      <c r="AE274257" s="36"/>
      <c r="AF274257" s="36"/>
    </row>
    <row r="274353" spans="31:32" x14ac:dyDescent="0.25">
      <c r="AE274353" s="34"/>
      <c r="AF274353" s="34"/>
    </row>
    <row r="274361" spans="31:32" x14ac:dyDescent="0.25">
      <c r="AE274361" s="36"/>
      <c r="AF274361" s="36"/>
    </row>
    <row r="274457" spans="31:32" x14ac:dyDescent="0.25">
      <c r="AE274457" s="34"/>
      <c r="AF274457" s="34"/>
    </row>
    <row r="274465" spans="31:32" x14ac:dyDescent="0.25">
      <c r="AE274465" s="36"/>
      <c r="AF274465" s="36"/>
    </row>
    <row r="274561" spans="31:32" x14ac:dyDescent="0.25">
      <c r="AE274561" s="34"/>
      <c r="AF274561" s="34"/>
    </row>
    <row r="274569" spans="31:32" x14ac:dyDescent="0.25">
      <c r="AE274569" s="36"/>
      <c r="AF274569" s="36"/>
    </row>
    <row r="274665" spans="31:32" x14ac:dyDescent="0.25">
      <c r="AE274665" s="34"/>
      <c r="AF274665" s="34"/>
    </row>
    <row r="274673" spans="31:32" x14ac:dyDescent="0.25">
      <c r="AE274673" s="36"/>
      <c r="AF274673" s="36"/>
    </row>
    <row r="274769" spans="31:32" x14ac:dyDescent="0.25">
      <c r="AE274769" s="34"/>
      <c r="AF274769" s="34"/>
    </row>
    <row r="274777" spans="31:32" x14ac:dyDescent="0.25">
      <c r="AE274777" s="36"/>
      <c r="AF274777" s="36"/>
    </row>
    <row r="274873" spans="31:32" x14ac:dyDescent="0.25">
      <c r="AE274873" s="34"/>
      <c r="AF274873" s="34"/>
    </row>
    <row r="274881" spans="31:32" x14ac:dyDescent="0.25">
      <c r="AE274881" s="36"/>
      <c r="AF274881" s="36"/>
    </row>
    <row r="274977" spans="31:32" x14ac:dyDescent="0.25">
      <c r="AE274977" s="34"/>
      <c r="AF274977" s="34"/>
    </row>
    <row r="274985" spans="31:32" x14ac:dyDescent="0.25">
      <c r="AE274985" s="36"/>
      <c r="AF274985" s="36"/>
    </row>
    <row r="275081" spans="31:32" x14ac:dyDescent="0.25">
      <c r="AE275081" s="34"/>
      <c r="AF275081" s="34"/>
    </row>
    <row r="275089" spans="31:32" x14ac:dyDescent="0.25">
      <c r="AE275089" s="36"/>
      <c r="AF275089" s="36"/>
    </row>
    <row r="275185" spans="31:32" x14ac:dyDescent="0.25">
      <c r="AE275185" s="34"/>
      <c r="AF275185" s="34"/>
    </row>
    <row r="275193" spans="31:32" x14ac:dyDescent="0.25">
      <c r="AE275193" s="36"/>
      <c r="AF275193" s="36"/>
    </row>
    <row r="275289" spans="31:32" x14ac:dyDescent="0.25">
      <c r="AE275289" s="34"/>
      <c r="AF275289" s="34"/>
    </row>
    <row r="275297" spans="31:32" x14ac:dyDescent="0.25">
      <c r="AE275297" s="36"/>
      <c r="AF275297" s="36"/>
    </row>
    <row r="275393" spans="31:32" x14ac:dyDescent="0.25">
      <c r="AE275393" s="34"/>
      <c r="AF275393" s="34"/>
    </row>
    <row r="275401" spans="31:32" x14ac:dyDescent="0.25">
      <c r="AE275401" s="36"/>
      <c r="AF275401" s="36"/>
    </row>
    <row r="275497" spans="31:32" x14ac:dyDescent="0.25">
      <c r="AE275497" s="34"/>
      <c r="AF275497" s="34"/>
    </row>
    <row r="275505" spans="31:32" x14ac:dyDescent="0.25">
      <c r="AE275505" s="36"/>
      <c r="AF275505" s="36"/>
    </row>
    <row r="275601" spans="31:32" x14ac:dyDescent="0.25">
      <c r="AE275601" s="34"/>
      <c r="AF275601" s="34"/>
    </row>
    <row r="275609" spans="31:32" x14ac:dyDescent="0.25">
      <c r="AE275609" s="36"/>
      <c r="AF275609" s="36"/>
    </row>
    <row r="275705" spans="31:32" x14ac:dyDescent="0.25">
      <c r="AE275705" s="34"/>
      <c r="AF275705" s="34"/>
    </row>
    <row r="275713" spans="31:32" x14ac:dyDescent="0.25">
      <c r="AE275713" s="36"/>
      <c r="AF275713" s="36"/>
    </row>
    <row r="275809" spans="31:32" x14ac:dyDescent="0.25">
      <c r="AE275809" s="34"/>
      <c r="AF275809" s="34"/>
    </row>
    <row r="275817" spans="31:32" x14ac:dyDescent="0.25">
      <c r="AE275817" s="36"/>
      <c r="AF275817" s="36"/>
    </row>
    <row r="275913" spans="31:32" x14ac:dyDescent="0.25">
      <c r="AE275913" s="34"/>
      <c r="AF275913" s="34"/>
    </row>
    <row r="275921" spans="31:32" x14ac:dyDescent="0.25">
      <c r="AE275921" s="36"/>
      <c r="AF275921" s="36"/>
    </row>
    <row r="276017" spans="31:32" x14ac:dyDescent="0.25">
      <c r="AE276017" s="34"/>
      <c r="AF276017" s="34"/>
    </row>
    <row r="276025" spans="31:32" x14ac:dyDescent="0.25">
      <c r="AE276025" s="36"/>
      <c r="AF276025" s="36"/>
    </row>
    <row r="276121" spans="31:32" x14ac:dyDescent="0.25">
      <c r="AE276121" s="34"/>
      <c r="AF276121" s="34"/>
    </row>
    <row r="276129" spans="31:32" x14ac:dyDescent="0.25">
      <c r="AE276129" s="36"/>
      <c r="AF276129" s="36"/>
    </row>
    <row r="276225" spans="31:32" x14ac:dyDescent="0.25">
      <c r="AE276225" s="34"/>
      <c r="AF276225" s="34"/>
    </row>
    <row r="276233" spans="31:32" x14ac:dyDescent="0.25">
      <c r="AE276233" s="36"/>
      <c r="AF276233" s="36"/>
    </row>
    <row r="276329" spans="31:32" x14ac:dyDescent="0.25">
      <c r="AE276329" s="34"/>
      <c r="AF276329" s="34"/>
    </row>
    <row r="276337" spans="31:32" x14ac:dyDescent="0.25">
      <c r="AE276337" s="36"/>
      <c r="AF276337" s="36"/>
    </row>
    <row r="276433" spans="31:32" x14ac:dyDescent="0.25">
      <c r="AE276433" s="34"/>
      <c r="AF276433" s="34"/>
    </row>
    <row r="276441" spans="31:32" x14ac:dyDescent="0.25">
      <c r="AE276441" s="36"/>
      <c r="AF276441" s="36"/>
    </row>
    <row r="276537" spans="31:32" x14ac:dyDescent="0.25">
      <c r="AE276537" s="34"/>
      <c r="AF276537" s="34"/>
    </row>
    <row r="276545" spans="31:32" x14ac:dyDescent="0.25">
      <c r="AE276545" s="36"/>
      <c r="AF276545" s="36"/>
    </row>
    <row r="276641" spans="31:32" x14ac:dyDescent="0.25">
      <c r="AE276641" s="34"/>
      <c r="AF276641" s="34"/>
    </row>
    <row r="276649" spans="31:32" x14ac:dyDescent="0.25">
      <c r="AE276649" s="36"/>
      <c r="AF276649" s="36"/>
    </row>
    <row r="276745" spans="31:32" x14ac:dyDescent="0.25">
      <c r="AE276745" s="34"/>
      <c r="AF276745" s="34"/>
    </row>
    <row r="276753" spans="31:32" x14ac:dyDescent="0.25">
      <c r="AE276753" s="36"/>
      <c r="AF276753" s="36"/>
    </row>
    <row r="276849" spans="31:32" x14ac:dyDescent="0.25">
      <c r="AE276849" s="34"/>
      <c r="AF276849" s="34"/>
    </row>
    <row r="276857" spans="31:32" x14ac:dyDescent="0.25">
      <c r="AE276857" s="36"/>
      <c r="AF276857" s="36"/>
    </row>
    <row r="276953" spans="31:32" x14ac:dyDescent="0.25">
      <c r="AE276953" s="34"/>
      <c r="AF276953" s="34"/>
    </row>
    <row r="276961" spans="31:32" x14ac:dyDescent="0.25">
      <c r="AE276961" s="36"/>
      <c r="AF276961" s="36"/>
    </row>
    <row r="277057" spans="31:32" x14ac:dyDescent="0.25">
      <c r="AE277057" s="34"/>
      <c r="AF277057" s="34"/>
    </row>
    <row r="277065" spans="31:32" x14ac:dyDescent="0.25">
      <c r="AE277065" s="36"/>
      <c r="AF277065" s="36"/>
    </row>
    <row r="277161" spans="31:32" x14ac:dyDescent="0.25">
      <c r="AE277161" s="34"/>
      <c r="AF277161" s="34"/>
    </row>
    <row r="277169" spans="31:32" x14ac:dyDescent="0.25">
      <c r="AE277169" s="36"/>
      <c r="AF277169" s="36"/>
    </row>
    <row r="277265" spans="31:32" x14ac:dyDescent="0.25">
      <c r="AE277265" s="34"/>
      <c r="AF277265" s="34"/>
    </row>
    <row r="277273" spans="31:32" x14ac:dyDescent="0.25">
      <c r="AE277273" s="36"/>
      <c r="AF277273" s="36"/>
    </row>
    <row r="277369" spans="31:32" x14ac:dyDescent="0.25">
      <c r="AE277369" s="34"/>
      <c r="AF277369" s="34"/>
    </row>
    <row r="277377" spans="31:32" x14ac:dyDescent="0.25">
      <c r="AE277377" s="36"/>
      <c r="AF277377" s="36"/>
    </row>
    <row r="277473" spans="31:32" x14ac:dyDescent="0.25">
      <c r="AE277473" s="34"/>
      <c r="AF277473" s="34"/>
    </row>
    <row r="277481" spans="31:32" x14ac:dyDescent="0.25">
      <c r="AE277481" s="36"/>
      <c r="AF277481" s="36"/>
    </row>
    <row r="277577" spans="31:32" x14ac:dyDescent="0.25">
      <c r="AE277577" s="34"/>
      <c r="AF277577" s="34"/>
    </row>
    <row r="277585" spans="31:32" x14ac:dyDescent="0.25">
      <c r="AE277585" s="36"/>
      <c r="AF277585" s="36"/>
    </row>
    <row r="277681" spans="31:32" x14ac:dyDescent="0.25">
      <c r="AE277681" s="34"/>
      <c r="AF277681" s="34"/>
    </row>
    <row r="277689" spans="31:32" x14ac:dyDescent="0.25">
      <c r="AE277689" s="36"/>
      <c r="AF277689" s="36"/>
    </row>
    <row r="277785" spans="31:32" x14ac:dyDescent="0.25">
      <c r="AE277785" s="34"/>
      <c r="AF277785" s="34"/>
    </row>
    <row r="277793" spans="31:32" x14ac:dyDescent="0.25">
      <c r="AE277793" s="36"/>
      <c r="AF277793" s="36"/>
    </row>
    <row r="277889" spans="31:32" x14ac:dyDescent="0.25">
      <c r="AE277889" s="34"/>
      <c r="AF277889" s="34"/>
    </row>
    <row r="277897" spans="31:32" x14ac:dyDescent="0.25">
      <c r="AE277897" s="36"/>
      <c r="AF277897" s="36"/>
    </row>
    <row r="277993" spans="31:32" x14ac:dyDescent="0.25">
      <c r="AE277993" s="34"/>
      <c r="AF277993" s="34"/>
    </row>
    <row r="278001" spans="31:32" x14ac:dyDescent="0.25">
      <c r="AE278001" s="36"/>
      <c r="AF278001" s="36"/>
    </row>
    <row r="278097" spans="31:32" x14ac:dyDescent="0.25">
      <c r="AE278097" s="34"/>
      <c r="AF278097" s="34"/>
    </row>
    <row r="278105" spans="31:32" x14ac:dyDescent="0.25">
      <c r="AE278105" s="36"/>
      <c r="AF278105" s="36"/>
    </row>
    <row r="278201" spans="31:32" x14ac:dyDescent="0.25">
      <c r="AE278201" s="34"/>
      <c r="AF278201" s="34"/>
    </row>
    <row r="278209" spans="31:32" x14ac:dyDescent="0.25">
      <c r="AE278209" s="36"/>
      <c r="AF278209" s="36"/>
    </row>
    <row r="278305" spans="31:32" x14ac:dyDescent="0.25">
      <c r="AE278305" s="34"/>
      <c r="AF278305" s="34"/>
    </row>
    <row r="278313" spans="31:32" x14ac:dyDescent="0.25">
      <c r="AE278313" s="36"/>
      <c r="AF278313" s="36"/>
    </row>
    <row r="278409" spans="31:32" x14ac:dyDescent="0.25">
      <c r="AE278409" s="34"/>
      <c r="AF278409" s="34"/>
    </row>
    <row r="278417" spans="31:32" x14ac:dyDescent="0.25">
      <c r="AE278417" s="36"/>
      <c r="AF278417" s="36"/>
    </row>
    <row r="278513" spans="31:32" x14ac:dyDescent="0.25">
      <c r="AE278513" s="34"/>
      <c r="AF278513" s="34"/>
    </row>
    <row r="278521" spans="31:32" x14ac:dyDescent="0.25">
      <c r="AE278521" s="36"/>
      <c r="AF278521" s="36"/>
    </row>
    <row r="278617" spans="31:32" x14ac:dyDescent="0.25">
      <c r="AE278617" s="34"/>
      <c r="AF278617" s="34"/>
    </row>
    <row r="278625" spans="31:32" x14ac:dyDescent="0.25">
      <c r="AE278625" s="36"/>
      <c r="AF278625" s="36"/>
    </row>
    <row r="278721" spans="31:32" x14ac:dyDescent="0.25">
      <c r="AE278721" s="34"/>
      <c r="AF278721" s="34"/>
    </row>
    <row r="278729" spans="31:32" x14ac:dyDescent="0.25">
      <c r="AE278729" s="36"/>
      <c r="AF278729" s="36"/>
    </row>
    <row r="278825" spans="31:32" x14ac:dyDescent="0.25">
      <c r="AE278825" s="34"/>
      <c r="AF278825" s="34"/>
    </row>
    <row r="278833" spans="31:32" x14ac:dyDescent="0.25">
      <c r="AE278833" s="36"/>
      <c r="AF278833" s="36"/>
    </row>
    <row r="278929" spans="31:32" x14ac:dyDescent="0.25">
      <c r="AE278929" s="34"/>
      <c r="AF278929" s="34"/>
    </row>
    <row r="278937" spans="31:32" x14ac:dyDescent="0.25">
      <c r="AE278937" s="36"/>
      <c r="AF278937" s="36"/>
    </row>
    <row r="279033" spans="31:32" x14ac:dyDescent="0.25">
      <c r="AE279033" s="34"/>
      <c r="AF279033" s="34"/>
    </row>
    <row r="279041" spans="31:32" x14ac:dyDescent="0.25">
      <c r="AE279041" s="36"/>
      <c r="AF279041" s="36"/>
    </row>
    <row r="279137" spans="31:32" x14ac:dyDescent="0.25">
      <c r="AE279137" s="34"/>
      <c r="AF279137" s="34"/>
    </row>
    <row r="279145" spans="31:32" x14ac:dyDescent="0.25">
      <c r="AE279145" s="36"/>
      <c r="AF279145" s="36"/>
    </row>
    <row r="279241" spans="31:32" x14ac:dyDescent="0.25">
      <c r="AE279241" s="34"/>
      <c r="AF279241" s="34"/>
    </row>
    <row r="279249" spans="31:32" x14ac:dyDescent="0.25">
      <c r="AE279249" s="36"/>
      <c r="AF279249" s="36"/>
    </row>
    <row r="279345" spans="31:32" x14ac:dyDescent="0.25">
      <c r="AE279345" s="34"/>
      <c r="AF279345" s="34"/>
    </row>
    <row r="279353" spans="31:32" x14ac:dyDescent="0.25">
      <c r="AE279353" s="36"/>
      <c r="AF279353" s="36"/>
    </row>
    <row r="279449" spans="31:32" x14ac:dyDescent="0.25">
      <c r="AE279449" s="34"/>
      <c r="AF279449" s="34"/>
    </row>
    <row r="279457" spans="31:32" x14ac:dyDescent="0.25">
      <c r="AE279457" s="36"/>
      <c r="AF279457" s="36"/>
    </row>
    <row r="279553" spans="31:32" x14ac:dyDescent="0.25">
      <c r="AE279553" s="34"/>
      <c r="AF279553" s="34"/>
    </row>
    <row r="279561" spans="31:32" x14ac:dyDescent="0.25">
      <c r="AE279561" s="36"/>
      <c r="AF279561" s="36"/>
    </row>
    <row r="279657" spans="31:32" x14ac:dyDescent="0.25">
      <c r="AE279657" s="34"/>
      <c r="AF279657" s="34"/>
    </row>
    <row r="279665" spans="31:32" x14ac:dyDescent="0.25">
      <c r="AE279665" s="36"/>
      <c r="AF279665" s="36"/>
    </row>
    <row r="279761" spans="31:32" x14ac:dyDescent="0.25">
      <c r="AE279761" s="34"/>
      <c r="AF279761" s="34"/>
    </row>
    <row r="279769" spans="31:32" x14ac:dyDescent="0.25">
      <c r="AE279769" s="36"/>
      <c r="AF279769" s="36"/>
    </row>
    <row r="279865" spans="31:32" x14ac:dyDescent="0.25">
      <c r="AE279865" s="34"/>
      <c r="AF279865" s="34"/>
    </row>
    <row r="279873" spans="31:32" x14ac:dyDescent="0.25">
      <c r="AE279873" s="36"/>
      <c r="AF279873" s="36"/>
    </row>
    <row r="279969" spans="31:32" x14ac:dyDescent="0.25">
      <c r="AE279969" s="34"/>
      <c r="AF279969" s="34"/>
    </row>
    <row r="279977" spans="31:32" x14ac:dyDescent="0.25">
      <c r="AE279977" s="36"/>
      <c r="AF279977" s="36"/>
    </row>
    <row r="280073" spans="31:32" x14ac:dyDescent="0.25">
      <c r="AE280073" s="34"/>
      <c r="AF280073" s="34"/>
    </row>
    <row r="280081" spans="31:32" x14ac:dyDescent="0.25">
      <c r="AE280081" s="36"/>
      <c r="AF280081" s="36"/>
    </row>
    <row r="280177" spans="31:32" x14ac:dyDescent="0.25">
      <c r="AE280177" s="34"/>
      <c r="AF280177" s="34"/>
    </row>
    <row r="280185" spans="31:32" x14ac:dyDescent="0.25">
      <c r="AE280185" s="36"/>
      <c r="AF280185" s="36"/>
    </row>
    <row r="280281" spans="31:32" x14ac:dyDescent="0.25">
      <c r="AE280281" s="34"/>
      <c r="AF280281" s="34"/>
    </row>
    <row r="280289" spans="31:32" x14ac:dyDescent="0.25">
      <c r="AE280289" s="36"/>
      <c r="AF280289" s="36"/>
    </row>
    <row r="280385" spans="31:32" x14ac:dyDescent="0.25">
      <c r="AE280385" s="34"/>
      <c r="AF280385" s="34"/>
    </row>
    <row r="280393" spans="31:32" x14ac:dyDescent="0.25">
      <c r="AE280393" s="36"/>
      <c r="AF280393" s="36"/>
    </row>
    <row r="280489" spans="31:32" x14ac:dyDescent="0.25">
      <c r="AE280489" s="34"/>
      <c r="AF280489" s="34"/>
    </row>
    <row r="280497" spans="31:32" x14ac:dyDescent="0.25">
      <c r="AE280497" s="36"/>
      <c r="AF280497" s="36"/>
    </row>
    <row r="280593" spans="31:32" x14ac:dyDescent="0.25">
      <c r="AE280593" s="34"/>
      <c r="AF280593" s="34"/>
    </row>
    <row r="280601" spans="31:32" x14ac:dyDescent="0.25">
      <c r="AE280601" s="36"/>
      <c r="AF280601" s="36"/>
    </row>
    <row r="280697" spans="31:32" x14ac:dyDescent="0.25">
      <c r="AE280697" s="34"/>
      <c r="AF280697" s="34"/>
    </row>
    <row r="280705" spans="31:32" x14ac:dyDescent="0.25">
      <c r="AE280705" s="36"/>
      <c r="AF280705" s="36"/>
    </row>
    <row r="280801" spans="31:32" x14ac:dyDescent="0.25">
      <c r="AE280801" s="34"/>
      <c r="AF280801" s="34"/>
    </row>
    <row r="280809" spans="31:32" x14ac:dyDescent="0.25">
      <c r="AE280809" s="36"/>
      <c r="AF280809" s="36"/>
    </row>
    <row r="280905" spans="31:32" x14ac:dyDescent="0.25">
      <c r="AE280905" s="34"/>
      <c r="AF280905" s="34"/>
    </row>
    <row r="280913" spans="31:32" x14ac:dyDescent="0.25">
      <c r="AE280913" s="36"/>
      <c r="AF280913" s="36"/>
    </row>
    <row r="281009" spans="31:32" x14ac:dyDescent="0.25">
      <c r="AE281009" s="34"/>
      <c r="AF281009" s="34"/>
    </row>
    <row r="281017" spans="31:32" x14ac:dyDescent="0.25">
      <c r="AE281017" s="36"/>
      <c r="AF281017" s="36"/>
    </row>
    <row r="281113" spans="31:32" x14ac:dyDescent="0.25">
      <c r="AE281113" s="34"/>
      <c r="AF281113" s="34"/>
    </row>
    <row r="281121" spans="31:32" x14ac:dyDescent="0.25">
      <c r="AE281121" s="36"/>
      <c r="AF281121" s="36"/>
    </row>
    <row r="281217" spans="31:32" x14ac:dyDescent="0.25">
      <c r="AE281217" s="34"/>
      <c r="AF281217" s="34"/>
    </row>
    <row r="281225" spans="31:32" x14ac:dyDescent="0.25">
      <c r="AE281225" s="36"/>
      <c r="AF281225" s="36"/>
    </row>
    <row r="281321" spans="31:32" x14ac:dyDescent="0.25">
      <c r="AE281321" s="34"/>
      <c r="AF281321" s="34"/>
    </row>
    <row r="281329" spans="31:32" x14ac:dyDescent="0.25">
      <c r="AE281329" s="36"/>
      <c r="AF281329" s="36"/>
    </row>
    <row r="281425" spans="31:32" x14ac:dyDescent="0.25">
      <c r="AE281425" s="34"/>
      <c r="AF281425" s="34"/>
    </row>
    <row r="281433" spans="31:32" x14ac:dyDescent="0.25">
      <c r="AE281433" s="36"/>
      <c r="AF281433" s="36"/>
    </row>
    <row r="281529" spans="31:32" x14ac:dyDescent="0.25">
      <c r="AE281529" s="34"/>
      <c r="AF281529" s="34"/>
    </row>
    <row r="281537" spans="31:32" x14ac:dyDescent="0.25">
      <c r="AE281537" s="36"/>
      <c r="AF281537" s="36"/>
    </row>
    <row r="281633" spans="31:32" x14ac:dyDescent="0.25">
      <c r="AE281633" s="34"/>
      <c r="AF281633" s="34"/>
    </row>
    <row r="281641" spans="31:32" x14ac:dyDescent="0.25">
      <c r="AE281641" s="36"/>
      <c r="AF281641" s="36"/>
    </row>
    <row r="281737" spans="31:32" x14ac:dyDescent="0.25">
      <c r="AE281737" s="34"/>
      <c r="AF281737" s="34"/>
    </row>
    <row r="281745" spans="31:32" x14ac:dyDescent="0.25">
      <c r="AE281745" s="36"/>
      <c r="AF281745" s="36"/>
    </row>
    <row r="281841" spans="31:32" x14ac:dyDescent="0.25">
      <c r="AE281841" s="34"/>
      <c r="AF281841" s="34"/>
    </row>
    <row r="281849" spans="31:32" x14ac:dyDescent="0.25">
      <c r="AE281849" s="36"/>
      <c r="AF281849" s="36"/>
    </row>
    <row r="281945" spans="31:32" x14ac:dyDescent="0.25">
      <c r="AE281945" s="34"/>
      <c r="AF281945" s="34"/>
    </row>
    <row r="281953" spans="31:32" x14ac:dyDescent="0.25">
      <c r="AE281953" s="36"/>
      <c r="AF281953" s="36"/>
    </row>
    <row r="282049" spans="31:32" x14ac:dyDescent="0.25">
      <c r="AE282049" s="34"/>
      <c r="AF282049" s="34"/>
    </row>
    <row r="282057" spans="31:32" x14ac:dyDescent="0.25">
      <c r="AE282057" s="36"/>
      <c r="AF282057" s="36"/>
    </row>
    <row r="282153" spans="31:32" x14ac:dyDescent="0.25">
      <c r="AE282153" s="34"/>
      <c r="AF282153" s="34"/>
    </row>
    <row r="282161" spans="31:32" x14ac:dyDescent="0.25">
      <c r="AE282161" s="36"/>
      <c r="AF282161" s="36"/>
    </row>
    <row r="282257" spans="31:32" x14ac:dyDescent="0.25">
      <c r="AE282257" s="34"/>
      <c r="AF282257" s="34"/>
    </row>
    <row r="282265" spans="31:32" x14ac:dyDescent="0.25">
      <c r="AE282265" s="36"/>
      <c r="AF282265" s="36"/>
    </row>
    <row r="282361" spans="31:32" x14ac:dyDescent="0.25">
      <c r="AE282361" s="34"/>
      <c r="AF282361" s="34"/>
    </row>
    <row r="282369" spans="31:32" x14ac:dyDescent="0.25">
      <c r="AE282369" s="36"/>
      <c r="AF282369" s="36"/>
    </row>
    <row r="282465" spans="31:32" x14ac:dyDescent="0.25">
      <c r="AE282465" s="34"/>
      <c r="AF282465" s="34"/>
    </row>
    <row r="282473" spans="31:32" x14ac:dyDescent="0.25">
      <c r="AE282473" s="36"/>
      <c r="AF282473" s="36"/>
    </row>
    <row r="282569" spans="31:32" x14ac:dyDescent="0.25">
      <c r="AE282569" s="34"/>
      <c r="AF282569" s="34"/>
    </row>
    <row r="282577" spans="31:32" x14ac:dyDescent="0.25">
      <c r="AE282577" s="36"/>
      <c r="AF282577" s="36"/>
    </row>
    <row r="282673" spans="31:32" x14ac:dyDescent="0.25">
      <c r="AE282673" s="34"/>
      <c r="AF282673" s="34"/>
    </row>
    <row r="282681" spans="31:32" x14ac:dyDescent="0.25">
      <c r="AE282681" s="36"/>
      <c r="AF282681" s="36"/>
    </row>
    <row r="282777" spans="31:32" x14ac:dyDescent="0.25">
      <c r="AE282777" s="34"/>
      <c r="AF282777" s="34"/>
    </row>
    <row r="282785" spans="31:32" x14ac:dyDescent="0.25">
      <c r="AE282785" s="36"/>
      <c r="AF282785" s="36"/>
    </row>
    <row r="282881" spans="31:32" x14ac:dyDescent="0.25">
      <c r="AE282881" s="34"/>
      <c r="AF282881" s="34"/>
    </row>
    <row r="282889" spans="31:32" x14ac:dyDescent="0.25">
      <c r="AE282889" s="36"/>
      <c r="AF282889" s="36"/>
    </row>
    <row r="282985" spans="31:32" x14ac:dyDescent="0.25">
      <c r="AE282985" s="34"/>
      <c r="AF282985" s="34"/>
    </row>
    <row r="282993" spans="31:32" x14ac:dyDescent="0.25">
      <c r="AE282993" s="36"/>
      <c r="AF282993" s="36"/>
    </row>
    <row r="283089" spans="31:32" x14ac:dyDescent="0.25">
      <c r="AE283089" s="34"/>
      <c r="AF283089" s="34"/>
    </row>
    <row r="283097" spans="31:32" x14ac:dyDescent="0.25">
      <c r="AE283097" s="36"/>
      <c r="AF283097" s="36"/>
    </row>
    <row r="283193" spans="31:32" x14ac:dyDescent="0.25">
      <c r="AE283193" s="34"/>
      <c r="AF283193" s="34"/>
    </row>
    <row r="283201" spans="31:32" x14ac:dyDescent="0.25">
      <c r="AE283201" s="36"/>
      <c r="AF283201" s="36"/>
    </row>
    <row r="283297" spans="31:32" x14ac:dyDescent="0.25">
      <c r="AE283297" s="34"/>
      <c r="AF283297" s="34"/>
    </row>
    <row r="283305" spans="31:32" x14ac:dyDescent="0.25">
      <c r="AE283305" s="36"/>
      <c r="AF283305" s="36"/>
    </row>
    <row r="283401" spans="31:32" x14ac:dyDescent="0.25">
      <c r="AE283401" s="34"/>
      <c r="AF283401" s="34"/>
    </row>
    <row r="283409" spans="31:32" x14ac:dyDescent="0.25">
      <c r="AE283409" s="36"/>
      <c r="AF283409" s="36"/>
    </row>
    <row r="283505" spans="31:32" x14ac:dyDescent="0.25">
      <c r="AE283505" s="34"/>
      <c r="AF283505" s="34"/>
    </row>
    <row r="283513" spans="31:32" x14ac:dyDescent="0.25">
      <c r="AE283513" s="36"/>
      <c r="AF283513" s="36"/>
    </row>
    <row r="283609" spans="31:32" x14ac:dyDescent="0.25">
      <c r="AE283609" s="34"/>
      <c r="AF283609" s="34"/>
    </row>
    <row r="283617" spans="31:32" x14ac:dyDescent="0.25">
      <c r="AE283617" s="36"/>
      <c r="AF283617" s="36"/>
    </row>
    <row r="283713" spans="31:32" x14ac:dyDescent="0.25">
      <c r="AE283713" s="34"/>
      <c r="AF283713" s="34"/>
    </row>
    <row r="283721" spans="31:32" x14ac:dyDescent="0.25">
      <c r="AE283721" s="36"/>
      <c r="AF283721" s="36"/>
    </row>
    <row r="283817" spans="31:32" x14ac:dyDescent="0.25">
      <c r="AE283817" s="34"/>
      <c r="AF283817" s="34"/>
    </row>
    <row r="283825" spans="31:32" x14ac:dyDescent="0.25">
      <c r="AE283825" s="36"/>
      <c r="AF283825" s="36"/>
    </row>
    <row r="283921" spans="31:32" x14ac:dyDescent="0.25">
      <c r="AE283921" s="34"/>
      <c r="AF283921" s="34"/>
    </row>
    <row r="283929" spans="31:32" x14ac:dyDescent="0.25">
      <c r="AE283929" s="36"/>
      <c r="AF283929" s="36"/>
    </row>
    <row r="284025" spans="31:32" x14ac:dyDescent="0.25">
      <c r="AE284025" s="34"/>
      <c r="AF284025" s="34"/>
    </row>
    <row r="284033" spans="31:32" x14ac:dyDescent="0.25">
      <c r="AE284033" s="36"/>
      <c r="AF284033" s="36"/>
    </row>
    <row r="284129" spans="31:32" x14ac:dyDescent="0.25">
      <c r="AE284129" s="34"/>
      <c r="AF284129" s="34"/>
    </row>
    <row r="284137" spans="31:32" x14ac:dyDescent="0.25">
      <c r="AE284137" s="36"/>
      <c r="AF284137" s="36"/>
    </row>
    <row r="284233" spans="31:32" x14ac:dyDescent="0.25">
      <c r="AE284233" s="34"/>
      <c r="AF284233" s="34"/>
    </row>
    <row r="284241" spans="31:32" x14ac:dyDescent="0.25">
      <c r="AE284241" s="36"/>
      <c r="AF284241" s="36"/>
    </row>
    <row r="284337" spans="31:32" x14ac:dyDescent="0.25">
      <c r="AE284337" s="34"/>
      <c r="AF284337" s="34"/>
    </row>
    <row r="284345" spans="31:32" x14ac:dyDescent="0.25">
      <c r="AE284345" s="36"/>
      <c r="AF284345" s="36"/>
    </row>
    <row r="284441" spans="31:32" x14ac:dyDescent="0.25">
      <c r="AE284441" s="34"/>
      <c r="AF284441" s="34"/>
    </row>
    <row r="284449" spans="31:32" x14ac:dyDescent="0.25">
      <c r="AE284449" s="36"/>
      <c r="AF284449" s="36"/>
    </row>
    <row r="284545" spans="31:32" x14ac:dyDescent="0.25">
      <c r="AE284545" s="34"/>
      <c r="AF284545" s="34"/>
    </row>
    <row r="284553" spans="31:32" x14ac:dyDescent="0.25">
      <c r="AE284553" s="36"/>
      <c r="AF284553" s="36"/>
    </row>
    <row r="284649" spans="31:32" x14ac:dyDescent="0.25">
      <c r="AE284649" s="34"/>
      <c r="AF284649" s="34"/>
    </row>
    <row r="284657" spans="31:32" x14ac:dyDescent="0.25">
      <c r="AE284657" s="36"/>
      <c r="AF284657" s="36"/>
    </row>
    <row r="284753" spans="31:32" x14ac:dyDescent="0.25">
      <c r="AE284753" s="34"/>
      <c r="AF284753" s="34"/>
    </row>
    <row r="284761" spans="31:32" x14ac:dyDescent="0.25">
      <c r="AE284761" s="36"/>
      <c r="AF284761" s="36"/>
    </row>
    <row r="284857" spans="31:32" x14ac:dyDescent="0.25">
      <c r="AE284857" s="34"/>
      <c r="AF284857" s="34"/>
    </row>
    <row r="284865" spans="31:32" x14ac:dyDescent="0.25">
      <c r="AE284865" s="36"/>
      <c r="AF284865" s="36"/>
    </row>
    <row r="284961" spans="31:32" x14ac:dyDescent="0.25">
      <c r="AE284961" s="34"/>
      <c r="AF284961" s="34"/>
    </row>
    <row r="284969" spans="31:32" x14ac:dyDescent="0.25">
      <c r="AE284969" s="36"/>
      <c r="AF284969" s="36"/>
    </row>
    <row r="285065" spans="31:32" x14ac:dyDescent="0.25">
      <c r="AE285065" s="34"/>
      <c r="AF285065" s="34"/>
    </row>
    <row r="285073" spans="31:32" x14ac:dyDescent="0.25">
      <c r="AE285073" s="36"/>
      <c r="AF285073" s="36"/>
    </row>
    <row r="285169" spans="31:32" x14ac:dyDescent="0.25">
      <c r="AE285169" s="34"/>
      <c r="AF285169" s="34"/>
    </row>
    <row r="285177" spans="31:32" x14ac:dyDescent="0.25">
      <c r="AE285177" s="36"/>
      <c r="AF285177" s="36"/>
    </row>
    <row r="285273" spans="31:32" x14ac:dyDescent="0.25">
      <c r="AE285273" s="34"/>
      <c r="AF285273" s="34"/>
    </row>
    <row r="285281" spans="31:32" x14ac:dyDescent="0.25">
      <c r="AE285281" s="36"/>
      <c r="AF285281" s="36"/>
    </row>
    <row r="285377" spans="31:32" x14ac:dyDescent="0.25">
      <c r="AE285377" s="34"/>
      <c r="AF285377" s="34"/>
    </row>
    <row r="285385" spans="31:32" x14ac:dyDescent="0.25">
      <c r="AE285385" s="36"/>
      <c r="AF285385" s="36"/>
    </row>
    <row r="285481" spans="31:32" x14ac:dyDescent="0.25">
      <c r="AE285481" s="34"/>
      <c r="AF285481" s="34"/>
    </row>
    <row r="285489" spans="31:32" x14ac:dyDescent="0.25">
      <c r="AE285489" s="36"/>
      <c r="AF285489" s="36"/>
    </row>
    <row r="285585" spans="31:32" x14ac:dyDescent="0.25">
      <c r="AE285585" s="34"/>
      <c r="AF285585" s="34"/>
    </row>
    <row r="285593" spans="31:32" x14ac:dyDescent="0.25">
      <c r="AE285593" s="36"/>
      <c r="AF285593" s="36"/>
    </row>
    <row r="285689" spans="31:32" x14ac:dyDescent="0.25">
      <c r="AE285689" s="34"/>
      <c r="AF285689" s="34"/>
    </row>
    <row r="285697" spans="31:32" x14ac:dyDescent="0.25">
      <c r="AE285697" s="36"/>
      <c r="AF285697" s="36"/>
    </row>
    <row r="285793" spans="31:32" x14ac:dyDescent="0.25">
      <c r="AE285793" s="34"/>
      <c r="AF285793" s="34"/>
    </row>
    <row r="285801" spans="31:32" x14ac:dyDescent="0.25">
      <c r="AE285801" s="36"/>
      <c r="AF285801" s="36"/>
    </row>
    <row r="285897" spans="31:32" x14ac:dyDescent="0.25">
      <c r="AE285897" s="34"/>
      <c r="AF285897" s="34"/>
    </row>
    <row r="285905" spans="31:32" x14ac:dyDescent="0.25">
      <c r="AE285905" s="36"/>
      <c r="AF285905" s="36"/>
    </row>
    <row r="286001" spans="31:32" x14ac:dyDescent="0.25">
      <c r="AE286001" s="34"/>
      <c r="AF286001" s="34"/>
    </row>
    <row r="286009" spans="31:32" x14ac:dyDescent="0.25">
      <c r="AE286009" s="36"/>
      <c r="AF286009" s="36"/>
    </row>
    <row r="286105" spans="31:32" x14ac:dyDescent="0.25">
      <c r="AE286105" s="34"/>
      <c r="AF286105" s="34"/>
    </row>
    <row r="286113" spans="31:32" x14ac:dyDescent="0.25">
      <c r="AE286113" s="36"/>
      <c r="AF286113" s="36"/>
    </row>
    <row r="286209" spans="31:32" x14ac:dyDescent="0.25">
      <c r="AE286209" s="34"/>
      <c r="AF286209" s="34"/>
    </row>
    <row r="286217" spans="31:32" x14ac:dyDescent="0.25">
      <c r="AE286217" s="36"/>
      <c r="AF286217" s="36"/>
    </row>
    <row r="286313" spans="31:32" x14ac:dyDescent="0.25">
      <c r="AE286313" s="34"/>
      <c r="AF286313" s="34"/>
    </row>
    <row r="286321" spans="31:32" x14ac:dyDescent="0.25">
      <c r="AE286321" s="36"/>
      <c r="AF286321" s="36"/>
    </row>
    <row r="286417" spans="31:32" x14ac:dyDescent="0.25">
      <c r="AE286417" s="34"/>
      <c r="AF286417" s="34"/>
    </row>
    <row r="286425" spans="31:32" x14ac:dyDescent="0.25">
      <c r="AE286425" s="36"/>
      <c r="AF286425" s="36"/>
    </row>
    <row r="286521" spans="31:32" x14ac:dyDescent="0.25">
      <c r="AE286521" s="34"/>
      <c r="AF286521" s="34"/>
    </row>
    <row r="286529" spans="31:32" x14ac:dyDescent="0.25">
      <c r="AE286529" s="36"/>
      <c r="AF286529" s="36"/>
    </row>
    <row r="286625" spans="31:32" x14ac:dyDescent="0.25">
      <c r="AE286625" s="34"/>
      <c r="AF286625" s="34"/>
    </row>
    <row r="286633" spans="31:32" x14ac:dyDescent="0.25">
      <c r="AE286633" s="36"/>
      <c r="AF286633" s="36"/>
    </row>
    <row r="286729" spans="31:32" x14ac:dyDescent="0.25">
      <c r="AE286729" s="34"/>
      <c r="AF286729" s="34"/>
    </row>
    <row r="286737" spans="31:32" x14ac:dyDescent="0.25">
      <c r="AE286737" s="36"/>
      <c r="AF286737" s="36"/>
    </row>
    <row r="286833" spans="31:32" x14ac:dyDescent="0.25">
      <c r="AE286833" s="34"/>
      <c r="AF286833" s="34"/>
    </row>
    <row r="286841" spans="31:32" x14ac:dyDescent="0.25">
      <c r="AE286841" s="36"/>
      <c r="AF286841" s="36"/>
    </row>
    <row r="286937" spans="31:32" x14ac:dyDescent="0.25">
      <c r="AE286937" s="34"/>
      <c r="AF286937" s="34"/>
    </row>
    <row r="286945" spans="31:32" x14ac:dyDescent="0.25">
      <c r="AE286945" s="36"/>
      <c r="AF286945" s="36"/>
    </row>
    <row r="287041" spans="31:32" x14ac:dyDescent="0.25">
      <c r="AE287041" s="34"/>
      <c r="AF287041" s="34"/>
    </row>
    <row r="287049" spans="31:32" x14ac:dyDescent="0.25">
      <c r="AE287049" s="36"/>
      <c r="AF287049" s="36"/>
    </row>
    <row r="287145" spans="31:32" x14ac:dyDescent="0.25">
      <c r="AE287145" s="34"/>
      <c r="AF287145" s="34"/>
    </row>
    <row r="287153" spans="31:32" x14ac:dyDescent="0.25">
      <c r="AE287153" s="36"/>
      <c r="AF287153" s="36"/>
    </row>
    <row r="287249" spans="31:32" x14ac:dyDescent="0.25">
      <c r="AE287249" s="34"/>
      <c r="AF287249" s="34"/>
    </row>
    <row r="287257" spans="31:32" x14ac:dyDescent="0.25">
      <c r="AE287257" s="36"/>
      <c r="AF287257" s="36"/>
    </row>
    <row r="287353" spans="31:32" x14ac:dyDescent="0.25">
      <c r="AE287353" s="34"/>
      <c r="AF287353" s="34"/>
    </row>
    <row r="287361" spans="31:32" x14ac:dyDescent="0.25">
      <c r="AE287361" s="36"/>
      <c r="AF287361" s="36"/>
    </row>
    <row r="287457" spans="31:32" x14ac:dyDescent="0.25">
      <c r="AE287457" s="34"/>
      <c r="AF287457" s="34"/>
    </row>
    <row r="287465" spans="31:32" x14ac:dyDescent="0.25">
      <c r="AE287465" s="36"/>
      <c r="AF287465" s="36"/>
    </row>
    <row r="287561" spans="31:32" x14ac:dyDescent="0.25">
      <c r="AE287561" s="34"/>
      <c r="AF287561" s="34"/>
    </row>
    <row r="287569" spans="31:32" x14ac:dyDescent="0.25">
      <c r="AE287569" s="36"/>
      <c r="AF287569" s="36"/>
    </row>
    <row r="287665" spans="31:32" x14ac:dyDescent="0.25">
      <c r="AE287665" s="34"/>
      <c r="AF287665" s="34"/>
    </row>
    <row r="287673" spans="31:32" x14ac:dyDescent="0.25">
      <c r="AE287673" s="36"/>
      <c r="AF287673" s="36"/>
    </row>
    <row r="287769" spans="31:32" x14ac:dyDescent="0.25">
      <c r="AE287769" s="34"/>
      <c r="AF287769" s="34"/>
    </row>
    <row r="287777" spans="31:32" x14ac:dyDescent="0.25">
      <c r="AE287777" s="36"/>
      <c r="AF287777" s="36"/>
    </row>
    <row r="287873" spans="31:32" x14ac:dyDescent="0.25">
      <c r="AE287873" s="34"/>
      <c r="AF287873" s="34"/>
    </row>
    <row r="287881" spans="31:32" x14ac:dyDescent="0.25">
      <c r="AE287881" s="36"/>
      <c r="AF287881" s="36"/>
    </row>
    <row r="287977" spans="31:32" x14ac:dyDescent="0.25">
      <c r="AE287977" s="34"/>
      <c r="AF287977" s="34"/>
    </row>
    <row r="287985" spans="31:32" x14ac:dyDescent="0.25">
      <c r="AE287985" s="36"/>
      <c r="AF287985" s="36"/>
    </row>
    <row r="288081" spans="31:32" x14ac:dyDescent="0.25">
      <c r="AE288081" s="34"/>
      <c r="AF288081" s="34"/>
    </row>
    <row r="288089" spans="31:32" x14ac:dyDescent="0.25">
      <c r="AE288089" s="36"/>
      <c r="AF288089" s="36"/>
    </row>
    <row r="288185" spans="31:32" x14ac:dyDescent="0.25">
      <c r="AE288185" s="34"/>
      <c r="AF288185" s="34"/>
    </row>
    <row r="288193" spans="31:32" x14ac:dyDescent="0.25">
      <c r="AE288193" s="36"/>
      <c r="AF288193" s="36"/>
    </row>
    <row r="288289" spans="31:32" x14ac:dyDescent="0.25">
      <c r="AE288289" s="34"/>
      <c r="AF288289" s="34"/>
    </row>
    <row r="288297" spans="31:32" x14ac:dyDescent="0.25">
      <c r="AE288297" s="36"/>
      <c r="AF288297" s="36"/>
    </row>
    <row r="288393" spans="31:32" x14ac:dyDescent="0.25">
      <c r="AE288393" s="34"/>
      <c r="AF288393" s="34"/>
    </row>
    <row r="288401" spans="31:32" x14ac:dyDescent="0.25">
      <c r="AE288401" s="36"/>
      <c r="AF288401" s="36"/>
    </row>
    <row r="288497" spans="31:32" x14ac:dyDescent="0.25">
      <c r="AE288497" s="34"/>
      <c r="AF288497" s="34"/>
    </row>
    <row r="288505" spans="31:32" x14ac:dyDescent="0.25">
      <c r="AE288505" s="36"/>
      <c r="AF288505" s="36"/>
    </row>
    <row r="288601" spans="31:32" x14ac:dyDescent="0.25">
      <c r="AE288601" s="34"/>
      <c r="AF288601" s="34"/>
    </row>
    <row r="288609" spans="31:32" x14ac:dyDescent="0.25">
      <c r="AE288609" s="36"/>
      <c r="AF288609" s="36"/>
    </row>
    <row r="288705" spans="31:32" x14ac:dyDescent="0.25">
      <c r="AE288705" s="34"/>
      <c r="AF288705" s="34"/>
    </row>
    <row r="288713" spans="31:32" x14ac:dyDescent="0.25">
      <c r="AE288713" s="36"/>
      <c r="AF288713" s="36"/>
    </row>
    <row r="288809" spans="31:32" x14ac:dyDescent="0.25">
      <c r="AE288809" s="34"/>
      <c r="AF288809" s="34"/>
    </row>
    <row r="288817" spans="31:32" x14ac:dyDescent="0.25">
      <c r="AE288817" s="36"/>
      <c r="AF288817" s="36"/>
    </row>
    <row r="288913" spans="31:32" x14ac:dyDescent="0.25">
      <c r="AE288913" s="34"/>
      <c r="AF288913" s="34"/>
    </row>
    <row r="288921" spans="31:32" x14ac:dyDescent="0.25">
      <c r="AE288921" s="36"/>
      <c r="AF288921" s="36"/>
    </row>
    <row r="289017" spans="31:32" x14ac:dyDescent="0.25">
      <c r="AE289017" s="34"/>
      <c r="AF289017" s="34"/>
    </row>
    <row r="289025" spans="31:32" x14ac:dyDescent="0.25">
      <c r="AE289025" s="36"/>
      <c r="AF289025" s="36"/>
    </row>
    <row r="289121" spans="31:32" x14ac:dyDescent="0.25">
      <c r="AE289121" s="34"/>
      <c r="AF289121" s="34"/>
    </row>
    <row r="289129" spans="31:32" x14ac:dyDescent="0.25">
      <c r="AE289129" s="36"/>
      <c r="AF289129" s="36"/>
    </row>
    <row r="289225" spans="31:32" x14ac:dyDescent="0.25">
      <c r="AE289225" s="34"/>
      <c r="AF289225" s="34"/>
    </row>
    <row r="289233" spans="31:32" x14ac:dyDescent="0.25">
      <c r="AE289233" s="36"/>
      <c r="AF289233" s="36"/>
    </row>
    <row r="289329" spans="31:32" x14ac:dyDescent="0.25">
      <c r="AE289329" s="34"/>
      <c r="AF289329" s="34"/>
    </row>
    <row r="289337" spans="31:32" x14ac:dyDescent="0.25">
      <c r="AE289337" s="36"/>
      <c r="AF289337" s="36"/>
    </row>
    <row r="289433" spans="31:32" x14ac:dyDescent="0.25">
      <c r="AE289433" s="34"/>
      <c r="AF289433" s="34"/>
    </row>
    <row r="289441" spans="31:32" x14ac:dyDescent="0.25">
      <c r="AE289441" s="36"/>
      <c r="AF289441" s="36"/>
    </row>
    <row r="289537" spans="31:32" x14ac:dyDescent="0.25">
      <c r="AE289537" s="34"/>
      <c r="AF289537" s="34"/>
    </row>
    <row r="289545" spans="31:32" x14ac:dyDescent="0.25">
      <c r="AE289545" s="36"/>
      <c r="AF289545" s="36"/>
    </row>
    <row r="289641" spans="31:32" x14ac:dyDescent="0.25">
      <c r="AE289641" s="34"/>
      <c r="AF289641" s="34"/>
    </row>
    <row r="289649" spans="31:32" x14ac:dyDescent="0.25">
      <c r="AE289649" s="36"/>
      <c r="AF289649" s="36"/>
    </row>
    <row r="289745" spans="31:32" x14ac:dyDescent="0.25">
      <c r="AE289745" s="34"/>
      <c r="AF289745" s="34"/>
    </row>
    <row r="289753" spans="31:32" x14ac:dyDescent="0.25">
      <c r="AE289753" s="36"/>
      <c r="AF289753" s="36"/>
    </row>
    <row r="289849" spans="31:32" x14ac:dyDescent="0.25">
      <c r="AE289849" s="34"/>
      <c r="AF289849" s="34"/>
    </row>
    <row r="289857" spans="31:32" x14ac:dyDescent="0.25">
      <c r="AE289857" s="36"/>
      <c r="AF289857" s="36"/>
    </row>
    <row r="289953" spans="31:32" x14ac:dyDescent="0.25">
      <c r="AE289953" s="34"/>
      <c r="AF289953" s="34"/>
    </row>
    <row r="289961" spans="31:32" x14ac:dyDescent="0.25">
      <c r="AE289961" s="36"/>
      <c r="AF289961" s="36"/>
    </row>
    <row r="290057" spans="31:32" x14ac:dyDescent="0.25">
      <c r="AE290057" s="34"/>
      <c r="AF290057" s="34"/>
    </row>
    <row r="290065" spans="31:32" x14ac:dyDescent="0.25">
      <c r="AE290065" s="36"/>
      <c r="AF290065" s="36"/>
    </row>
    <row r="290161" spans="31:32" x14ac:dyDescent="0.25">
      <c r="AE290161" s="34"/>
      <c r="AF290161" s="34"/>
    </row>
    <row r="290169" spans="31:32" x14ac:dyDescent="0.25">
      <c r="AE290169" s="36"/>
      <c r="AF290169" s="36"/>
    </row>
    <row r="290265" spans="31:32" x14ac:dyDescent="0.25">
      <c r="AE290265" s="34"/>
      <c r="AF290265" s="34"/>
    </row>
    <row r="290273" spans="31:32" x14ac:dyDescent="0.25">
      <c r="AE290273" s="36"/>
      <c r="AF290273" s="36"/>
    </row>
    <row r="290369" spans="31:32" x14ac:dyDescent="0.25">
      <c r="AE290369" s="34"/>
      <c r="AF290369" s="34"/>
    </row>
    <row r="290377" spans="31:32" x14ac:dyDescent="0.25">
      <c r="AE290377" s="36"/>
      <c r="AF290377" s="36"/>
    </row>
    <row r="290473" spans="31:32" x14ac:dyDescent="0.25">
      <c r="AE290473" s="34"/>
      <c r="AF290473" s="34"/>
    </row>
    <row r="290481" spans="31:32" x14ac:dyDescent="0.25">
      <c r="AE290481" s="36"/>
      <c r="AF290481" s="36"/>
    </row>
    <row r="290577" spans="31:32" x14ac:dyDescent="0.25">
      <c r="AE290577" s="34"/>
      <c r="AF290577" s="34"/>
    </row>
    <row r="290585" spans="31:32" x14ac:dyDescent="0.25">
      <c r="AE290585" s="36"/>
      <c r="AF290585" s="36"/>
    </row>
    <row r="290681" spans="31:32" x14ac:dyDescent="0.25">
      <c r="AE290681" s="34"/>
      <c r="AF290681" s="34"/>
    </row>
    <row r="290689" spans="31:32" x14ac:dyDescent="0.25">
      <c r="AE290689" s="36"/>
      <c r="AF290689" s="36"/>
    </row>
    <row r="290785" spans="31:32" x14ac:dyDescent="0.25">
      <c r="AE290785" s="34"/>
      <c r="AF290785" s="34"/>
    </row>
    <row r="290793" spans="31:32" x14ac:dyDescent="0.25">
      <c r="AE290793" s="36"/>
      <c r="AF290793" s="36"/>
    </row>
    <row r="290889" spans="31:32" x14ac:dyDescent="0.25">
      <c r="AE290889" s="34"/>
      <c r="AF290889" s="34"/>
    </row>
    <row r="290897" spans="31:32" x14ac:dyDescent="0.25">
      <c r="AE290897" s="36"/>
      <c r="AF290897" s="36"/>
    </row>
    <row r="290993" spans="31:32" x14ac:dyDescent="0.25">
      <c r="AE290993" s="34"/>
      <c r="AF290993" s="34"/>
    </row>
    <row r="291001" spans="31:32" x14ac:dyDescent="0.25">
      <c r="AE291001" s="36"/>
      <c r="AF291001" s="36"/>
    </row>
    <row r="291097" spans="31:32" x14ac:dyDescent="0.25">
      <c r="AE291097" s="34"/>
      <c r="AF291097" s="34"/>
    </row>
    <row r="291105" spans="31:32" x14ac:dyDescent="0.25">
      <c r="AE291105" s="36"/>
      <c r="AF291105" s="36"/>
    </row>
    <row r="291201" spans="31:32" x14ac:dyDescent="0.25">
      <c r="AE291201" s="34"/>
      <c r="AF291201" s="34"/>
    </row>
    <row r="291209" spans="31:32" x14ac:dyDescent="0.25">
      <c r="AE291209" s="36"/>
      <c r="AF291209" s="36"/>
    </row>
    <row r="291305" spans="31:32" x14ac:dyDescent="0.25">
      <c r="AE291305" s="34"/>
      <c r="AF291305" s="34"/>
    </row>
    <row r="291313" spans="31:32" x14ac:dyDescent="0.25">
      <c r="AE291313" s="36"/>
      <c r="AF291313" s="36"/>
    </row>
    <row r="291409" spans="31:32" x14ac:dyDescent="0.25">
      <c r="AE291409" s="34"/>
      <c r="AF291409" s="34"/>
    </row>
    <row r="291417" spans="31:32" x14ac:dyDescent="0.25">
      <c r="AE291417" s="36"/>
      <c r="AF291417" s="36"/>
    </row>
    <row r="291513" spans="31:32" x14ac:dyDescent="0.25">
      <c r="AE291513" s="34"/>
      <c r="AF291513" s="34"/>
    </row>
    <row r="291521" spans="31:32" x14ac:dyDescent="0.25">
      <c r="AE291521" s="36"/>
      <c r="AF291521" s="36"/>
    </row>
    <row r="291617" spans="31:32" x14ac:dyDescent="0.25">
      <c r="AE291617" s="34"/>
      <c r="AF291617" s="34"/>
    </row>
    <row r="291625" spans="31:32" x14ac:dyDescent="0.25">
      <c r="AE291625" s="36"/>
      <c r="AF291625" s="36"/>
    </row>
    <row r="291721" spans="31:32" x14ac:dyDescent="0.25">
      <c r="AE291721" s="34"/>
      <c r="AF291721" s="34"/>
    </row>
    <row r="291729" spans="31:32" x14ac:dyDescent="0.25">
      <c r="AE291729" s="36"/>
      <c r="AF291729" s="36"/>
    </row>
    <row r="291825" spans="31:32" x14ac:dyDescent="0.25">
      <c r="AE291825" s="34"/>
      <c r="AF291825" s="34"/>
    </row>
    <row r="291833" spans="31:32" x14ac:dyDescent="0.25">
      <c r="AE291833" s="36"/>
      <c r="AF291833" s="36"/>
    </row>
    <row r="291929" spans="31:32" x14ac:dyDescent="0.25">
      <c r="AE291929" s="34"/>
      <c r="AF291929" s="34"/>
    </row>
    <row r="291937" spans="31:32" x14ac:dyDescent="0.25">
      <c r="AE291937" s="36"/>
      <c r="AF291937" s="36"/>
    </row>
    <row r="292033" spans="31:32" x14ac:dyDescent="0.25">
      <c r="AE292033" s="34"/>
      <c r="AF292033" s="34"/>
    </row>
    <row r="292041" spans="31:32" x14ac:dyDescent="0.25">
      <c r="AE292041" s="36"/>
      <c r="AF292041" s="36"/>
    </row>
    <row r="292137" spans="31:32" x14ac:dyDescent="0.25">
      <c r="AE292137" s="34"/>
      <c r="AF292137" s="34"/>
    </row>
    <row r="292145" spans="31:32" x14ac:dyDescent="0.25">
      <c r="AE292145" s="36"/>
      <c r="AF292145" s="36"/>
    </row>
    <row r="292241" spans="31:32" x14ac:dyDescent="0.25">
      <c r="AE292241" s="34"/>
      <c r="AF292241" s="34"/>
    </row>
    <row r="292249" spans="31:32" x14ac:dyDescent="0.25">
      <c r="AE292249" s="36"/>
      <c r="AF292249" s="36"/>
    </row>
    <row r="292345" spans="31:32" x14ac:dyDescent="0.25">
      <c r="AE292345" s="34"/>
      <c r="AF292345" s="34"/>
    </row>
    <row r="292353" spans="31:32" x14ac:dyDescent="0.25">
      <c r="AE292353" s="36"/>
      <c r="AF292353" s="36"/>
    </row>
    <row r="292449" spans="31:32" x14ac:dyDescent="0.25">
      <c r="AE292449" s="34"/>
      <c r="AF292449" s="34"/>
    </row>
    <row r="292457" spans="31:32" x14ac:dyDescent="0.25">
      <c r="AE292457" s="36"/>
      <c r="AF292457" s="36"/>
    </row>
    <row r="292553" spans="31:32" x14ac:dyDescent="0.25">
      <c r="AE292553" s="34"/>
      <c r="AF292553" s="34"/>
    </row>
    <row r="292561" spans="31:32" x14ac:dyDescent="0.25">
      <c r="AE292561" s="36"/>
      <c r="AF292561" s="36"/>
    </row>
    <row r="292657" spans="31:32" x14ac:dyDescent="0.25">
      <c r="AE292657" s="34"/>
      <c r="AF292657" s="34"/>
    </row>
    <row r="292665" spans="31:32" x14ac:dyDescent="0.25">
      <c r="AE292665" s="36"/>
      <c r="AF292665" s="36"/>
    </row>
    <row r="292761" spans="31:32" x14ac:dyDescent="0.25">
      <c r="AE292761" s="34"/>
      <c r="AF292761" s="34"/>
    </row>
    <row r="292769" spans="31:32" x14ac:dyDescent="0.25">
      <c r="AE292769" s="36"/>
      <c r="AF292769" s="36"/>
    </row>
    <row r="292865" spans="31:32" x14ac:dyDescent="0.25">
      <c r="AE292865" s="34"/>
      <c r="AF292865" s="34"/>
    </row>
    <row r="292873" spans="31:32" x14ac:dyDescent="0.25">
      <c r="AE292873" s="36"/>
      <c r="AF292873" s="36"/>
    </row>
    <row r="292969" spans="31:32" x14ac:dyDescent="0.25">
      <c r="AE292969" s="34"/>
      <c r="AF292969" s="34"/>
    </row>
    <row r="292977" spans="31:32" x14ac:dyDescent="0.25">
      <c r="AE292977" s="36"/>
      <c r="AF292977" s="36"/>
    </row>
    <row r="293073" spans="31:32" x14ac:dyDescent="0.25">
      <c r="AE293073" s="34"/>
      <c r="AF293073" s="34"/>
    </row>
    <row r="293081" spans="31:32" x14ac:dyDescent="0.25">
      <c r="AE293081" s="36"/>
      <c r="AF293081" s="36"/>
    </row>
    <row r="293177" spans="31:32" x14ac:dyDescent="0.25">
      <c r="AE293177" s="34"/>
      <c r="AF293177" s="34"/>
    </row>
    <row r="293185" spans="31:32" x14ac:dyDescent="0.25">
      <c r="AE293185" s="36"/>
      <c r="AF293185" s="36"/>
    </row>
    <row r="293281" spans="31:32" x14ac:dyDescent="0.25">
      <c r="AE293281" s="34"/>
      <c r="AF293281" s="34"/>
    </row>
    <row r="293289" spans="31:32" x14ac:dyDescent="0.25">
      <c r="AE293289" s="36"/>
      <c r="AF293289" s="36"/>
    </row>
    <row r="293385" spans="31:32" x14ac:dyDescent="0.25">
      <c r="AE293385" s="34"/>
      <c r="AF293385" s="34"/>
    </row>
    <row r="293393" spans="31:32" x14ac:dyDescent="0.25">
      <c r="AE293393" s="36"/>
      <c r="AF293393" s="36"/>
    </row>
    <row r="293489" spans="31:32" x14ac:dyDescent="0.25">
      <c r="AE293489" s="34"/>
      <c r="AF293489" s="34"/>
    </row>
    <row r="293497" spans="31:32" x14ac:dyDescent="0.25">
      <c r="AE293497" s="36"/>
      <c r="AF293497" s="36"/>
    </row>
    <row r="293593" spans="31:32" x14ac:dyDescent="0.25">
      <c r="AE293593" s="34"/>
      <c r="AF293593" s="34"/>
    </row>
    <row r="293601" spans="31:32" x14ac:dyDescent="0.25">
      <c r="AE293601" s="36"/>
      <c r="AF293601" s="36"/>
    </row>
    <row r="293697" spans="31:32" x14ac:dyDescent="0.25">
      <c r="AE293697" s="34"/>
      <c r="AF293697" s="34"/>
    </row>
    <row r="293705" spans="31:32" x14ac:dyDescent="0.25">
      <c r="AE293705" s="36"/>
      <c r="AF293705" s="36"/>
    </row>
    <row r="293801" spans="31:32" x14ac:dyDescent="0.25">
      <c r="AE293801" s="34"/>
      <c r="AF293801" s="34"/>
    </row>
    <row r="293809" spans="31:32" x14ac:dyDescent="0.25">
      <c r="AE293809" s="36"/>
      <c r="AF293809" s="36"/>
    </row>
    <row r="293905" spans="31:32" x14ac:dyDescent="0.25">
      <c r="AE293905" s="34"/>
      <c r="AF293905" s="34"/>
    </row>
    <row r="293913" spans="31:32" x14ac:dyDescent="0.25">
      <c r="AE293913" s="36"/>
      <c r="AF293913" s="36"/>
    </row>
    <row r="294009" spans="31:32" x14ac:dyDescent="0.25">
      <c r="AE294009" s="34"/>
      <c r="AF294009" s="34"/>
    </row>
    <row r="294017" spans="31:32" x14ac:dyDescent="0.25">
      <c r="AE294017" s="36"/>
      <c r="AF294017" s="36"/>
    </row>
    <row r="294113" spans="31:32" x14ac:dyDescent="0.25">
      <c r="AE294113" s="34"/>
      <c r="AF294113" s="34"/>
    </row>
    <row r="294121" spans="31:32" x14ac:dyDescent="0.25">
      <c r="AE294121" s="36"/>
      <c r="AF294121" s="36"/>
    </row>
    <row r="294217" spans="31:32" x14ac:dyDescent="0.25">
      <c r="AE294217" s="34"/>
      <c r="AF294217" s="34"/>
    </row>
    <row r="294225" spans="31:32" x14ac:dyDescent="0.25">
      <c r="AE294225" s="36"/>
      <c r="AF294225" s="36"/>
    </row>
    <row r="294321" spans="31:32" x14ac:dyDescent="0.25">
      <c r="AE294321" s="34"/>
      <c r="AF294321" s="34"/>
    </row>
    <row r="294329" spans="31:32" x14ac:dyDescent="0.25">
      <c r="AE294329" s="36"/>
      <c r="AF294329" s="36"/>
    </row>
    <row r="294425" spans="31:32" x14ac:dyDescent="0.25">
      <c r="AE294425" s="34"/>
      <c r="AF294425" s="34"/>
    </row>
    <row r="294433" spans="31:32" x14ac:dyDescent="0.25">
      <c r="AE294433" s="36"/>
      <c r="AF294433" s="36"/>
    </row>
    <row r="294529" spans="31:32" x14ac:dyDescent="0.25">
      <c r="AE294529" s="34"/>
      <c r="AF294529" s="34"/>
    </row>
    <row r="294537" spans="31:32" x14ac:dyDescent="0.25">
      <c r="AE294537" s="36"/>
      <c r="AF294537" s="36"/>
    </row>
    <row r="294633" spans="31:32" x14ac:dyDescent="0.25">
      <c r="AE294633" s="34"/>
      <c r="AF294633" s="34"/>
    </row>
    <row r="294641" spans="31:32" x14ac:dyDescent="0.25">
      <c r="AE294641" s="36"/>
      <c r="AF294641" s="36"/>
    </row>
    <row r="294737" spans="31:32" x14ac:dyDescent="0.25">
      <c r="AE294737" s="34"/>
      <c r="AF294737" s="34"/>
    </row>
    <row r="294745" spans="31:32" x14ac:dyDescent="0.25">
      <c r="AE294745" s="36"/>
      <c r="AF294745" s="36"/>
    </row>
    <row r="294841" spans="31:32" x14ac:dyDescent="0.25">
      <c r="AE294841" s="34"/>
      <c r="AF294841" s="34"/>
    </row>
    <row r="294849" spans="31:32" x14ac:dyDescent="0.25">
      <c r="AE294849" s="36"/>
      <c r="AF294849" s="36"/>
    </row>
    <row r="294945" spans="31:32" x14ac:dyDescent="0.25">
      <c r="AE294945" s="34"/>
      <c r="AF294945" s="34"/>
    </row>
    <row r="294953" spans="31:32" x14ac:dyDescent="0.25">
      <c r="AE294953" s="36"/>
      <c r="AF294953" s="36"/>
    </row>
    <row r="295049" spans="31:32" x14ac:dyDescent="0.25">
      <c r="AE295049" s="34"/>
      <c r="AF295049" s="34"/>
    </row>
    <row r="295057" spans="31:32" x14ac:dyDescent="0.25">
      <c r="AE295057" s="36"/>
      <c r="AF295057" s="36"/>
    </row>
    <row r="295153" spans="31:32" x14ac:dyDescent="0.25">
      <c r="AE295153" s="34"/>
      <c r="AF295153" s="34"/>
    </row>
    <row r="295161" spans="31:32" x14ac:dyDescent="0.25">
      <c r="AE295161" s="36"/>
      <c r="AF295161" s="36"/>
    </row>
    <row r="295257" spans="31:32" x14ac:dyDescent="0.25">
      <c r="AE295257" s="34"/>
      <c r="AF295257" s="34"/>
    </row>
    <row r="295265" spans="31:32" x14ac:dyDescent="0.25">
      <c r="AE295265" s="36"/>
      <c r="AF295265" s="36"/>
    </row>
    <row r="295361" spans="31:32" x14ac:dyDescent="0.25">
      <c r="AE295361" s="34"/>
      <c r="AF295361" s="34"/>
    </row>
    <row r="295369" spans="31:32" x14ac:dyDescent="0.25">
      <c r="AE295369" s="36"/>
      <c r="AF295369" s="36"/>
    </row>
    <row r="295465" spans="31:32" x14ac:dyDescent="0.25">
      <c r="AE295465" s="34"/>
      <c r="AF295465" s="34"/>
    </row>
    <row r="295473" spans="31:32" x14ac:dyDescent="0.25">
      <c r="AE295473" s="36"/>
      <c r="AF295473" s="36"/>
    </row>
    <row r="295569" spans="31:32" x14ac:dyDescent="0.25">
      <c r="AE295569" s="34"/>
      <c r="AF295569" s="34"/>
    </row>
    <row r="295577" spans="31:32" x14ac:dyDescent="0.25">
      <c r="AE295577" s="36"/>
      <c r="AF295577" s="36"/>
    </row>
    <row r="295673" spans="31:32" x14ac:dyDescent="0.25">
      <c r="AE295673" s="34"/>
      <c r="AF295673" s="34"/>
    </row>
    <row r="295681" spans="31:32" x14ac:dyDescent="0.25">
      <c r="AE295681" s="36"/>
      <c r="AF295681" s="36"/>
    </row>
    <row r="295777" spans="31:32" x14ac:dyDescent="0.25">
      <c r="AE295777" s="34"/>
      <c r="AF295777" s="34"/>
    </row>
    <row r="295785" spans="31:32" x14ac:dyDescent="0.25">
      <c r="AE295785" s="36"/>
      <c r="AF295785" s="36"/>
    </row>
    <row r="295881" spans="31:32" x14ac:dyDescent="0.25">
      <c r="AE295881" s="34"/>
      <c r="AF295881" s="34"/>
    </row>
    <row r="295889" spans="31:32" x14ac:dyDescent="0.25">
      <c r="AE295889" s="36"/>
      <c r="AF295889" s="36"/>
    </row>
    <row r="295985" spans="31:32" x14ac:dyDescent="0.25">
      <c r="AE295985" s="34"/>
      <c r="AF295985" s="34"/>
    </row>
    <row r="295993" spans="31:32" x14ac:dyDescent="0.25">
      <c r="AE295993" s="36"/>
      <c r="AF295993" s="36"/>
    </row>
    <row r="296089" spans="31:32" x14ac:dyDescent="0.25">
      <c r="AE296089" s="34"/>
      <c r="AF296089" s="34"/>
    </row>
    <row r="296097" spans="31:32" x14ac:dyDescent="0.25">
      <c r="AE296097" s="36"/>
      <c r="AF296097" s="36"/>
    </row>
    <row r="296193" spans="31:32" x14ac:dyDescent="0.25">
      <c r="AE296193" s="34"/>
      <c r="AF296193" s="34"/>
    </row>
    <row r="296201" spans="31:32" x14ac:dyDescent="0.25">
      <c r="AE296201" s="36"/>
      <c r="AF296201" s="36"/>
    </row>
    <row r="296297" spans="31:32" x14ac:dyDescent="0.25">
      <c r="AE296297" s="34"/>
      <c r="AF296297" s="34"/>
    </row>
    <row r="296305" spans="31:32" x14ac:dyDescent="0.25">
      <c r="AE296305" s="36"/>
      <c r="AF296305" s="36"/>
    </row>
    <row r="296401" spans="31:32" x14ac:dyDescent="0.25">
      <c r="AE296401" s="34"/>
      <c r="AF296401" s="34"/>
    </row>
    <row r="296409" spans="31:32" x14ac:dyDescent="0.25">
      <c r="AE296409" s="36"/>
      <c r="AF296409" s="36"/>
    </row>
    <row r="296505" spans="31:32" x14ac:dyDescent="0.25">
      <c r="AE296505" s="34"/>
      <c r="AF296505" s="34"/>
    </row>
    <row r="296513" spans="31:32" x14ac:dyDescent="0.25">
      <c r="AE296513" s="36"/>
      <c r="AF296513" s="36"/>
    </row>
    <row r="296609" spans="31:32" x14ac:dyDescent="0.25">
      <c r="AE296609" s="34"/>
      <c r="AF296609" s="34"/>
    </row>
    <row r="296617" spans="31:32" x14ac:dyDescent="0.25">
      <c r="AE296617" s="36"/>
      <c r="AF296617" s="36"/>
    </row>
    <row r="296713" spans="31:32" x14ac:dyDescent="0.25">
      <c r="AE296713" s="34"/>
      <c r="AF296713" s="34"/>
    </row>
    <row r="296721" spans="31:32" x14ac:dyDescent="0.25">
      <c r="AE296721" s="36"/>
      <c r="AF296721" s="36"/>
    </row>
    <row r="296817" spans="31:32" x14ac:dyDescent="0.25">
      <c r="AE296817" s="34"/>
      <c r="AF296817" s="34"/>
    </row>
    <row r="296825" spans="31:32" x14ac:dyDescent="0.25">
      <c r="AE296825" s="36"/>
      <c r="AF296825" s="36"/>
    </row>
    <row r="296921" spans="31:32" x14ac:dyDescent="0.25">
      <c r="AE296921" s="34"/>
      <c r="AF296921" s="34"/>
    </row>
    <row r="296929" spans="31:32" x14ac:dyDescent="0.25">
      <c r="AE296929" s="36"/>
      <c r="AF296929" s="36"/>
    </row>
    <row r="297025" spans="31:32" x14ac:dyDescent="0.25">
      <c r="AE297025" s="34"/>
      <c r="AF297025" s="34"/>
    </row>
    <row r="297033" spans="31:32" x14ac:dyDescent="0.25">
      <c r="AE297033" s="36"/>
      <c r="AF297033" s="36"/>
    </row>
    <row r="297129" spans="31:32" x14ac:dyDescent="0.25">
      <c r="AE297129" s="34"/>
      <c r="AF297129" s="34"/>
    </row>
    <row r="297137" spans="31:32" x14ac:dyDescent="0.25">
      <c r="AE297137" s="36"/>
      <c r="AF297137" s="36"/>
    </row>
    <row r="297233" spans="31:32" x14ac:dyDescent="0.25">
      <c r="AE297233" s="34"/>
      <c r="AF297233" s="34"/>
    </row>
    <row r="297241" spans="31:32" x14ac:dyDescent="0.25">
      <c r="AE297241" s="36"/>
      <c r="AF297241" s="36"/>
    </row>
    <row r="297337" spans="31:32" x14ac:dyDescent="0.25">
      <c r="AE297337" s="34"/>
      <c r="AF297337" s="34"/>
    </row>
    <row r="297345" spans="31:32" x14ac:dyDescent="0.25">
      <c r="AE297345" s="36"/>
      <c r="AF297345" s="36"/>
    </row>
    <row r="297441" spans="31:32" x14ac:dyDescent="0.25">
      <c r="AE297441" s="34"/>
      <c r="AF297441" s="34"/>
    </row>
    <row r="297449" spans="31:32" x14ac:dyDescent="0.25">
      <c r="AE297449" s="36"/>
      <c r="AF297449" s="36"/>
    </row>
    <row r="297545" spans="31:32" x14ac:dyDescent="0.25">
      <c r="AE297545" s="34"/>
      <c r="AF297545" s="34"/>
    </row>
    <row r="297553" spans="31:32" x14ac:dyDescent="0.25">
      <c r="AE297553" s="36"/>
      <c r="AF297553" s="36"/>
    </row>
    <row r="297649" spans="31:32" x14ac:dyDescent="0.25">
      <c r="AE297649" s="34"/>
      <c r="AF297649" s="34"/>
    </row>
    <row r="297657" spans="31:32" x14ac:dyDescent="0.25">
      <c r="AE297657" s="36"/>
      <c r="AF297657" s="36"/>
    </row>
    <row r="297753" spans="31:32" x14ac:dyDescent="0.25">
      <c r="AE297753" s="34"/>
      <c r="AF297753" s="34"/>
    </row>
    <row r="297761" spans="31:32" x14ac:dyDescent="0.25">
      <c r="AE297761" s="36"/>
      <c r="AF297761" s="36"/>
    </row>
    <row r="297857" spans="31:32" x14ac:dyDescent="0.25">
      <c r="AE297857" s="34"/>
      <c r="AF297857" s="34"/>
    </row>
    <row r="297865" spans="31:32" x14ac:dyDescent="0.25">
      <c r="AE297865" s="36"/>
      <c r="AF297865" s="36"/>
    </row>
    <row r="297961" spans="31:32" x14ac:dyDescent="0.25">
      <c r="AE297961" s="34"/>
      <c r="AF297961" s="34"/>
    </row>
    <row r="297969" spans="31:32" x14ac:dyDescent="0.25">
      <c r="AE297969" s="36"/>
      <c r="AF297969" s="36"/>
    </row>
    <row r="298065" spans="31:32" x14ac:dyDescent="0.25">
      <c r="AE298065" s="34"/>
      <c r="AF298065" s="34"/>
    </row>
    <row r="298073" spans="31:32" x14ac:dyDescent="0.25">
      <c r="AE298073" s="36"/>
      <c r="AF298073" s="36"/>
    </row>
    <row r="298169" spans="31:32" x14ac:dyDescent="0.25">
      <c r="AE298169" s="34"/>
      <c r="AF298169" s="34"/>
    </row>
    <row r="298177" spans="31:32" x14ac:dyDescent="0.25">
      <c r="AE298177" s="36"/>
      <c r="AF298177" s="36"/>
    </row>
    <row r="298273" spans="31:32" x14ac:dyDescent="0.25">
      <c r="AE298273" s="34"/>
      <c r="AF298273" s="34"/>
    </row>
    <row r="298281" spans="31:32" x14ac:dyDescent="0.25">
      <c r="AE298281" s="36"/>
      <c r="AF298281" s="36"/>
    </row>
    <row r="298377" spans="31:32" x14ac:dyDescent="0.25">
      <c r="AE298377" s="34"/>
      <c r="AF298377" s="34"/>
    </row>
    <row r="298385" spans="31:32" x14ac:dyDescent="0.25">
      <c r="AE298385" s="36"/>
      <c r="AF298385" s="36"/>
    </row>
    <row r="298481" spans="31:32" x14ac:dyDescent="0.25">
      <c r="AE298481" s="34"/>
      <c r="AF298481" s="34"/>
    </row>
    <row r="298489" spans="31:32" x14ac:dyDescent="0.25">
      <c r="AE298489" s="36"/>
      <c r="AF298489" s="36"/>
    </row>
    <row r="298585" spans="31:32" x14ac:dyDescent="0.25">
      <c r="AE298585" s="34"/>
      <c r="AF298585" s="34"/>
    </row>
    <row r="298593" spans="31:32" x14ac:dyDescent="0.25">
      <c r="AE298593" s="36"/>
      <c r="AF298593" s="36"/>
    </row>
    <row r="298689" spans="31:32" x14ac:dyDescent="0.25">
      <c r="AE298689" s="34"/>
      <c r="AF298689" s="34"/>
    </row>
    <row r="298697" spans="31:32" x14ac:dyDescent="0.25">
      <c r="AE298697" s="36"/>
      <c r="AF298697" s="36"/>
    </row>
    <row r="298793" spans="31:32" x14ac:dyDescent="0.25">
      <c r="AE298793" s="34"/>
      <c r="AF298793" s="34"/>
    </row>
    <row r="298801" spans="31:32" x14ac:dyDescent="0.25">
      <c r="AE298801" s="36"/>
      <c r="AF298801" s="36"/>
    </row>
    <row r="298897" spans="31:32" x14ac:dyDescent="0.25">
      <c r="AE298897" s="34"/>
      <c r="AF298897" s="34"/>
    </row>
    <row r="298905" spans="31:32" x14ac:dyDescent="0.25">
      <c r="AE298905" s="36"/>
      <c r="AF298905" s="36"/>
    </row>
    <row r="299001" spans="31:32" x14ac:dyDescent="0.25">
      <c r="AE299001" s="34"/>
      <c r="AF299001" s="34"/>
    </row>
    <row r="299009" spans="31:32" x14ac:dyDescent="0.25">
      <c r="AE299009" s="36"/>
      <c r="AF299009" s="36"/>
    </row>
    <row r="299105" spans="31:32" x14ac:dyDescent="0.25">
      <c r="AE299105" s="34"/>
      <c r="AF299105" s="34"/>
    </row>
    <row r="299113" spans="31:32" x14ac:dyDescent="0.25">
      <c r="AE299113" s="36"/>
      <c r="AF299113" s="36"/>
    </row>
    <row r="299209" spans="31:32" x14ac:dyDescent="0.25">
      <c r="AE299209" s="34"/>
      <c r="AF299209" s="34"/>
    </row>
    <row r="299217" spans="31:32" x14ac:dyDescent="0.25">
      <c r="AE299217" s="36"/>
      <c r="AF299217" s="36"/>
    </row>
    <row r="299313" spans="31:32" x14ac:dyDescent="0.25">
      <c r="AE299313" s="34"/>
      <c r="AF299313" s="34"/>
    </row>
    <row r="299321" spans="31:32" x14ac:dyDescent="0.25">
      <c r="AE299321" s="36"/>
      <c r="AF299321" s="36"/>
    </row>
    <row r="299417" spans="31:32" x14ac:dyDescent="0.25">
      <c r="AE299417" s="34"/>
      <c r="AF299417" s="34"/>
    </row>
    <row r="299425" spans="31:32" x14ac:dyDescent="0.25">
      <c r="AE299425" s="36"/>
      <c r="AF299425" s="36"/>
    </row>
    <row r="299521" spans="31:32" x14ac:dyDescent="0.25">
      <c r="AE299521" s="34"/>
      <c r="AF299521" s="34"/>
    </row>
    <row r="299529" spans="31:32" x14ac:dyDescent="0.25">
      <c r="AE299529" s="36"/>
      <c r="AF299529" s="36"/>
    </row>
    <row r="299625" spans="31:32" x14ac:dyDescent="0.25">
      <c r="AE299625" s="34"/>
      <c r="AF299625" s="34"/>
    </row>
    <row r="299633" spans="31:32" x14ac:dyDescent="0.25">
      <c r="AE299633" s="36"/>
      <c r="AF299633" s="36"/>
    </row>
    <row r="299729" spans="31:32" x14ac:dyDescent="0.25">
      <c r="AE299729" s="34"/>
      <c r="AF299729" s="34"/>
    </row>
    <row r="299737" spans="31:32" x14ac:dyDescent="0.25">
      <c r="AE299737" s="36"/>
      <c r="AF299737" s="36"/>
    </row>
    <row r="299833" spans="31:32" x14ac:dyDescent="0.25">
      <c r="AE299833" s="34"/>
      <c r="AF299833" s="34"/>
    </row>
    <row r="299841" spans="31:32" x14ac:dyDescent="0.25">
      <c r="AE299841" s="36"/>
      <c r="AF299841" s="36"/>
    </row>
    <row r="299937" spans="31:32" x14ac:dyDescent="0.25">
      <c r="AE299937" s="34"/>
      <c r="AF299937" s="34"/>
    </row>
    <row r="299945" spans="31:32" x14ac:dyDescent="0.25">
      <c r="AE299945" s="36"/>
      <c r="AF299945" s="36"/>
    </row>
    <row r="300041" spans="31:32" x14ac:dyDescent="0.25">
      <c r="AE300041" s="34"/>
      <c r="AF300041" s="34"/>
    </row>
    <row r="300049" spans="31:32" x14ac:dyDescent="0.25">
      <c r="AE300049" s="36"/>
      <c r="AF300049" s="36"/>
    </row>
    <row r="300145" spans="31:32" x14ac:dyDescent="0.25">
      <c r="AE300145" s="34"/>
      <c r="AF300145" s="34"/>
    </row>
    <row r="300153" spans="31:32" x14ac:dyDescent="0.25">
      <c r="AE300153" s="36"/>
      <c r="AF300153" s="36"/>
    </row>
    <row r="300249" spans="31:32" x14ac:dyDescent="0.25">
      <c r="AE300249" s="34"/>
      <c r="AF300249" s="34"/>
    </row>
    <row r="300257" spans="31:32" x14ac:dyDescent="0.25">
      <c r="AE300257" s="36"/>
      <c r="AF300257" s="36"/>
    </row>
    <row r="300353" spans="31:32" x14ac:dyDescent="0.25">
      <c r="AE300353" s="34"/>
      <c r="AF300353" s="34"/>
    </row>
    <row r="300361" spans="31:32" x14ac:dyDescent="0.25">
      <c r="AE300361" s="36"/>
      <c r="AF300361" s="36"/>
    </row>
    <row r="300457" spans="31:32" x14ac:dyDescent="0.25">
      <c r="AE300457" s="34"/>
      <c r="AF300457" s="34"/>
    </row>
    <row r="300465" spans="31:32" x14ac:dyDescent="0.25">
      <c r="AE300465" s="36"/>
      <c r="AF300465" s="36"/>
    </row>
    <row r="300561" spans="31:32" x14ac:dyDescent="0.25">
      <c r="AE300561" s="34"/>
      <c r="AF300561" s="34"/>
    </row>
    <row r="300569" spans="31:32" x14ac:dyDescent="0.25">
      <c r="AE300569" s="36"/>
      <c r="AF300569" s="36"/>
    </row>
    <row r="300665" spans="31:32" x14ac:dyDescent="0.25">
      <c r="AE300665" s="34"/>
      <c r="AF300665" s="34"/>
    </row>
    <row r="300673" spans="31:32" x14ac:dyDescent="0.25">
      <c r="AE300673" s="36"/>
      <c r="AF300673" s="36"/>
    </row>
    <row r="300769" spans="31:32" x14ac:dyDescent="0.25">
      <c r="AE300769" s="34"/>
      <c r="AF300769" s="34"/>
    </row>
    <row r="300777" spans="31:32" x14ac:dyDescent="0.25">
      <c r="AE300777" s="36"/>
      <c r="AF300777" s="36"/>
    </row>
    <row r="300873" spans="31:32" x14ac:dyDescent="0.25">
      <c r="AE300873" s="34"/>
      <c r="AF300873" s="34"/>
    </row>
    <row r="300881" spans="31:32" x14ac:dyDescent="0.25">
      <c r="AE300881" s="36"/>
      <c r="AF300881" s="36"/>
    </row>
    <row r="300977" spans="31:32" x14ac:dyDescent="0.25">
      <c r="AE300977" s="34"/>
      <c r="AF300977" s="34"/>
    </row>
    <row r="300985" spans="31:32" x14ac:dyDescent="0.25">
      <c r="AE300985" s="36"/>
      <c r="AF300985" s="36"/>
    </row>
    <row r="301081" spans="31:32" x14ac:dyDescent="0.25">
      <c r="AE301081" s="34"/>
      <c r="AF301081" s="34"/>
    </row>
    <row r="301089" spans="31:32" x14ac:dyDescent="0.25">
      <c r="AE301089" s="36"/>
      <c r="AF301089" s="36"/>
    </row>
    <row r="301185" spans="31:32" x14ac:dyDescent="0.25">
      <c r="AE301185" s="34"/>
      <c r="AF301185" s="34"/>
    </row>
    <row r="301193" spans="31:32" x14ac:dyDescent="0.25">
      <c r="AE301193" s="36"/>
      <c r="AF301193" s="36"/>
    </row>
    <row r="301289" spans="31:32" x14ac:dyDescent="0.25">
      <c r="AE301289" s="34"/>
      <c r="AF301289" s="34"/>
    </row>
    <row r="301297" spans="31:32" x14ac:dyDescent="0.25">
      <c r="AE301297" s="36"/>
      <c r="AF301297" s="36"/>
    </row>
    <row r="301393" spans="31:32" x14ac:dyDescent="0.25">
      <c r="AE301393" s="34"/>
      <c r="AF301393" s="34"/>
    </row>
    <row r="301401" spans="31:32" x14ac:dyDescent="0.25">
      <c r="AE301401" s="36"/>
      <c r="AF301401" s="36"/>
    </row>
    <row r="301497" spans="31:32" x14ac:dyDescent="0.25">
      <c r="AE301497" s="34"/>
      <c r="AF301497" s="34"/>
    </row>
    <row r="301505" spans="31:32" x14ac:dyDescent="0.25">
      <c r="AE301505" s="36"/>
      <c r="AF301505" s="36"/>
    </row>
    <row r="301601" spans="31:32" x14ac:dyDescent="0.25">
      <c r="AE301601" s="34"/>
      <c r="AF301601" s="34"/>
    </row>
    <row r="301609" spans="31:32" x14ac:dyDescent="0.25">
      <c r="AE301609" s="36"/>
      <c r="AF301609" s="36"/>
    </row>
    <row r="301705" spans="31:32" x14ac:dyDescent="0.25">
      <c r="AE301705" s="34"/>
      <c r="AF301705" s="34"/>
    </row>
    <row r="301713" spans="31:32" x14ac:dyDescent="0.25">
      <c r="AE301713" s="36"/>
      <c r="AF301713" s="36"/>
    </row>
    <row r="301809" spans="31:32" x14ac:dyDescent="0.25">
      <c r="AE301809" s="34"/>
      <c r="AF301809" s="34"/>
    </row>
    <row r="301817" spans="31:32" x14ac:dyDescent="0.25">
      <c r="AE301817" s="36"/>
      <c r="AF301817" s="36"/>
    </row>
    <row r="301913" spans="31:32" x14ac:dyDescent="0.25">
      <c r="AE301913" s="34"/>
      <c r="AF301913" s="34"/>
    </row>
    <row r="301921" spans="31:32" x14ac:dyDescent="0.25">
      <c r="AE301921" s="36"/>
      <c r="AF301921" s="36"/>
    </row>
    <row r="302017" spans="31:32" x14ac:dyDescent="0.25">
      <c r="AE302017" s="34"/>
      <c r="AF302017" s="34"/>
    </row>
    <row r="302025" spans="31:32" x14ac:dyDescent="0.25">
      <c r="AE302025" s="36"/>
      <c r="AF302025" s="36"/>
    </row>
    <row r="302121" spans="31:32" x14ac:dyDescent="0.25">
      <c r="AE302121" s="34"/>
      <c r="AF302121" s="34"/>
    </row>
    <row r="302129" spans="31:32" x14ac:dyDescent="0.25">
      <c r="AE302129" s="36"/>
      <c r="AF302129" s="36"/>
    </row>
    <row r="302225" spans="31:32" x14ac:dyDescent="0.25">
      <c r="AE302225" s="34"/>
      <c r="AF302225" s="34"/>
    </row>
    <row r="302233" spans="31:32" x14ac:dyDescent="0.25">
      <c r="AE302233" s="36"/>
      <c r="AF302233" s="36"/>
    </row>
    <row r="302329" spans="31:32" x14ac:dyDescent="0.25">
      <c r="AE302329" s="34"/>
      <c r="AF302329" s="34"/>
    </row>
    <row r="302337" spans="31:32" x14ac:dyDescent="0.25">
      <c r="AE302337" s="36"/>
      <c r="AF302337" s="36"/>
    </row>
    <row r="302433" spans="31:32" x14ac:dyDescent="0.25">
      <c r="AE302433" s="34"/>
      <c r="AF302433" s="34"/>
    </row>
    <row r="302441" spans="31:32" x14ac:dyDescent="0.25">
      <c r="AE302441" s="36"/>
      <c r="AF302441" s="36"/>
    </row>
    <row r="302537" spans="31:32" x14ac:dyDescent="0.25">
      <c r="AE302537" s="34"/>
      <c r="AF302537" s="34"/>
    </row>
    <row r="302545" spans="31:32" x14ac:dyDescent="0.25">
      <c r="AE302545" s="36"/>
      <c r="AF302545" s="36"/>
    </row>
    <row r="302641" spans="31:32" x14ac:dyDescent="0.25">
      <c r="AE302641" s="34"/>
      <c r="AF302641" s="34"/>
    </row>
    <row r="302649" spans="31:32" x14ac:dyDescent="0.25">
      <c r="AE302649" s="36"/>
      <c r="AF302649" s="36"/>
    </row>
    <row r="302745" spans="31:32" x14ac:dyDescent="0.25">
      <c r="AE302745" s="34"/>
      <c r="AF302745" s="34"/>
    </row>
    <row r="302753" spans="31:32" x14ac:dyDescent="0.25">
      <c r="AE302753" s="36"/>
      <c r="AF302753" s="36"/>
    </row>
    <row r="302849" spans="31:32" x14ac:dyDescent="0.25">
      <c r="AE302849" s="34"/>
      <c r="AF302849" s="34"/>
    </row>
    <row r="302857" spans="31:32" x14ac:dyDescent="0.25">
      <c r="AE302857" s="36"/>
      <c r="AF302857" s="36"/>
    </row>
    <row r="302953" spans="31:32" x14ac:dyDescent="0.25">
      <c r="AE302953" s="34"/>
      <c r="AF302953" s="34"/>
    </row>
    <row r="302961" spans="31:32" x14ac:dyDescent="0.25">
      <c r="AE302961" s="36"/>
      <c r="AF302961" s="36"/>
    </row>
    <row r="303057" spans="31:32" x14ac:dyDescent="0.25">
      <c r="AE303057" s="34"/>
      <c r="AF303057" s="34"/>
    </row>
    <row r="303065" spans="31:32" x14ac:dyDescent="0.25">
      <c r="AE303065" s="36"/>
      <c r="AF303065" s="36"/>
    </row>
    <row r="303161" spans="31:32" x14ac:dyDescent="0.25">
      <c r="AE303161" s="34"/>
      <c r="AF303161" s="34"/>
    </row>
    <row r="303169" spans="31:32" x14ac:dyDescent="0.25">
      <c r="AE303169" s="36"/>
      <c r="AF303169" s="36"/>
    </row>
    <row r="303265" spans="31:32" x14ac:dyDescent="0.25">
      <c r="AE303265" s="34"/>
      <c r="AF303265" s="34"/>
    </row>
    <row r="303273" spans="31:32" x14ac:dyDescent="0.25">
      <c r="AE303273" s="36"/>
      <c r="AF303273" s="36"/>
    </row>
    <row r="303369" spans="31:32" x14ac:dyDescent="0.25">
      <c r="AE303369" s="34"/>
      <c r="AF303369" s="34"/>
    </row>
    <row r="303377" spans="31:32" x14ac:dyDescent="0.25">
      <c r="AE303377" s="36"/>
      <c r="AF303377" s="36"/>
    </row>
    <row r="303473" spans="31:32" x14ac:dyDescent="0.25">
      <c r="AE303473" s="34"/>
      <c r="AF303473" s="34"/>
    </row>
    <row r="303481" spans="31:32" x14ac:dyDescent="0.25">
      <c r="AE303481" s="36"/>
      <c r="AF303481" s="36"/>
    </row>
    <row r="303577" spans="31:32" x14ac:dyDescent="0.25">
      <c r="AE303577" s="34"/>
      <c r="AF303577" s="34"/>
    </row>
    <row r="303585" spans="31:32" x14ac:dyDescent="0.25">
      <c r="AE303585" s="36"/>
      <c r="AF303585" s="36"/>
    </row>
    <row r="303681" spans="31:32" x14ac:dyDescent="0.25">
      <c r="AE303681" s="34"/>
      <c r="AF303681" s="34"/>
    </row>
    <row r="303689" spans="31:32" x14ac:dyDescent="0.25">
      <c r="AE303689" s="36"/>
      <c r="AF303689" s="36"/>
    </row>
    <row r="303785" spans="31:32" x14ac:dyDescent="0.25">
      <c r="AE303785" s="34"/>
      <c r="AF303785" s="34"/>
    </row>
    <row r="303793" spans="31:32" x14ac:dyDescent="0.25">
      <c r="AE303793" s="36"/>
      <c r="AF303793" s="36"/>
    </row>
    <row r="303889" spans="31:32" x14ac:dyDescent="0.25">
      <c r="AE303889" s="34"/>
      <c r="AF303889" s="34"/>
    </row>
    <row r="303897" spans="31:32" x14ac:dyDescent="0.25">
      <c r="AE303897" s="36"/>
      <c r="AF303897" s="36"/>
    </row>
    <row r="303993" spans="31:32" x14ac:dyDescent="0.25">
      <c r="AE303993" s="34"/>
      <c r="AF303993" s="34"/>
    </row>
    <row r="304001" spans="31:32" x14ac:dyDescent="0.25">
      <c r="AE304001" s="36"/>
      <c r="AF304001" s="36"/>
    </row>
    <row r="304097" spans="31:32" x14ac:dyDescent="0.25">
      <c r="AE304097" s="34"/>
      <c r="AF304097" s="34"/>
    </row>
    <row r="304105" spans="31:32" x14ac:dyDescent="0.25">
      <c r="AE304105" s="36"/>
      <c r="AF304105" s="36"/>
    </row>
    <row r="304201" spans="31:32" x14ac:dyDescent="0.25">
      <c r="AE304201" s="34"/>
      <c r="AF304201" s="34"/>
    </row>
    <row r="304209" spans="31:32" x14ac:dyDescent="0.25">
      <c r="AE304209" s="36"/>
      <c r="AF304209" s="36"/>
    </row>
    <row r="304305" spans="31:32" x14ac:dyDescent="0.25">
      <c r="AE304305" s="34"/>
      <c r="AF304305" s="34"/>
    </row>
    <row r="304313" spans="31:32" x14ac:dyDescent="0.25">
      <c r="AE304313" s="36"/>
      <c r="AF304313" s="36"/>
    </row>
    <row r="304409" spans="31:32" x14ac:dyDescent="0.25">
      <c r="AE304409" s="34"/>
      <c r="AF304409" s="34"/>
    </row>
    <row r="304417" spans="31:32" x14ac:dyDescent="0.25">
      <c r="AE304417" s="36"/>
      <c r="AF304417" s="36"/>
    </row>
    <row r="304513" spans="31:32" x14ac:dyDescent="0.25">
      <c r="AE304513" s="34"/>
      <c r="AF304513" s="34"/>
    </row>
    <row r="304521" spans="31:32" x14ac:dyDescent="0.25">
      <c r="AE304521" s="36"/>
      <c r="AF304521" s="36"/>
    </row>
    <row r="304617" spans="31:32" x14ac:dyDescent="0.25">
      <c r="AE304617" s="34"/>
      <c r="AF304617" s="34"/>
    </row>
    <row r="304625" spans="31:32" x14ac:dyDescent="0.25">
      <c r="AE304625" s="36"/>
      <c r="AF304625" s="36"/>
    </row>
    <row r="304721" spans="31:32" x14ac:dyDescent="0.25">
      <c r="AE304721" s="34"/>
      <c r="AF304721" s="34"/>
    </row>
    <row r="304729" spans="31:32" x14ac:dyDescent="0.25">
      <c r="AE304729" s="36"/>
      <c r="AF304729" s="36"/>
    </row>
    <row r="304825" spans="31:32" x14ac:dyDescent="0.25">
      <c r="AE304825" s="34"/>
      <c r="AF304825" s="34"/>
    </row>
    <row r="304833" spans="31:32" x14ac:dyDescent="0.25">
      <c r="AE304833" s="36"/>
      <c r="AF304833" s="36"/>
    </row>
    <row r="304929" spans="31:32" x14ac:dyDescent="0.25">
      <c r="AE304929" s="34"/>
      <c r="AF304929" s="34"/>
    </row>
    <row r="304937" spans="31:32" x14ac:dyDescent="0.25">
      <c r="AE304937" s="36"/>
      <c r="AF304937" s="36"/>
    </row>
    <row r="305033" spans="31:32" x14ac:dyDescent="0.25">
      <c r="AE305033" s="34"/>
      <c r="AF305033" s="34"/>
    </row>
    <row r="305041" spans="31:32" x14ac:dyDescent="0.25">
      <c r="AE305041" s="36"/>
      <c r="AF305041" s="36"/>
    </row>
    <row r="305137" spans="31:32" x14ac:dyDescent="0.25">
      <c r="AE305137" s="34"/>
      <c r="AF305137" s="34"/>
    </row>
    <row r="305145" spans="31:32" x14ac:dyDescent="0.25">
      <c r="AE305145" s="36"/>
      <c r="AF305145" s="36"/>
    </row>
    <row r="305241" spans="31:32" x14ac:dyDescent="0.25">
      <c r="AE305241" s="34"/>
      <c r="AF305241" s="34"/>
    </row>
    <row r="305249" spans="31:32" x14ac:dyDescent="0.25">
      <c r="AE305249" s="36"/>
      <c r="AF305249" s="36"/>
    </row>
    <row r="305345" spans="31:32" x14ac:dyDescent="0.25">
      <c r="AE305345" s="34"/>
      <c r="AF305345" s="34"/>
    </row>
    <row r="305353" spans="31:32" x14ac:dyDescent="0.25">
      <c r="AE305353" s="36"/>
      <c r="AF305353" s="36"/>
    </row>
    <row r="305449" spans="31:32" x14ac:dyDescent="0.25">
      <c r="AE305449" s="34"/>
      <c r="AF305449" s="34"/>
    </row>
    <row r="305457" spans="31:32" x14ac:dyDescent="0.25">
      <c r="AE305457" s="36"/>
      <c r="AF305457" s="36"/>
    </row>
    <row r="305553" spans="31:32" x14ac:dyDescent="0.25">
      <c r="AE305553" s="34"/>
      <c r="AF305553" s="34"/>
    </row>
    <row r="305561" spans="31:32" x14ac:dyDescent="0.25">
      <c r="AE305561" s="36"/>
      <c r="AF305561" s="36"/>
    </row>
    <row r="305657" spans="31:32" x14ac:dyDescent="0.25">
      <c r="AE305657" s="34"/>
      <c r="AF305657" s="34"/>
    </row>
    <row r="305665" spans="31:32" x14ac:dyDescent="0.25">
      <c r="AE305665" s="36"/>
      <c r="AF305665" s="36"/>
    </row>
    <row r="305761" spans="31:32" x14ac:dyDescent="0.25">
      <c r="AE305761" s="34"/>
      <c r="AF305761" s="34"/>
    </row>
    <row r="305769" spans="31:32" x14ac:dyDescent="0.25">
      <c r="AE305769" s="36"/>
      <c r="AF305769" s="36"/>
    </row>
    <row r="305865" spans="31:32" x14ac:dyDescent="0.25">
      <c r="AE305865" s="34"/>
      <c r="AF305865" s="34"/>
    </row>
    <row r="305873" spans="31:32" x14ac:dyDescent="0.25">
      <c r="AE305873" s="36"/>
      <c r="AF305873" s="36"/>
    </row>
    <row r="305969" spans="31:32" x14ac:dyDescent="0.25">
      <c r="AE305969" s="34"/>
      <c r="AF305969" s="34"/>
    </row>
    <row r="305977" spans="31:32" x14ac:dyDescent="0.25">
      <c r="AE305977" s="36"/>
      <c r="AF305977" s="36"/>
    </row>
    <row r="306073" spans="31:32" x14ac:dyDescent="0.25">
      <c r="AE306073" s="34"/>
      <c r="AF306073" s="34"/>
    </row>
    <row r="306081" spans="31:32" x14ac:dyDescent="0.25">
      <c r="AE306081" s="36"/>
      <c r="AF306081" s="36"/>
    </row>
    <row r="306177" spans="31:32" x14ac:dyDescent="0.25">
      <c r="AE306177" s="34"/>
      <c r="AF306177" s="34"/>
    </row>
    <row r="306185" spans="31:32" x14ac:dyDescent="0.25">
      <c r="AE306185" s="36"/>
      <c r="AF306185" s="36"/>
    </row>
    <row r="306281" spans="31:32" x14ac:dyDescent="0.25">
      <c r="AE306281" s="34"/>
      <c r="AF306281" s="34"/>
    </row>
    <row r="306289" spans="31:32" x14ac:dyDescent="0.25">
      <c r="AE306289" s="36"/>
      <c r="AF306289" s="36"/>
    </row>
    <row r="306385" spans="31:32" x14ac:dyDescent="0.25">
      <c r="AE306385" s="34"/>
      <c r="AF306385" s="34"/>
    </row>
    <row r="306393" spans="31:32" x14ac:dyDescent="0.25">
      <c r="AE306393" s="36"/>
      <c r="AF306393" s="36"/>
    </row>
    <row r="306489" spans="31:32" x14ac:dyDescent="0.25">
      <c r="AE306489" s="34"/>
      <c r="AF306489" s="34"/>
    </row>
    <row r="306497" spans="31:32" x14ac:dyDescent="0.25">
      <c r="AE306497" s="36"/>
      <c r="AF306497" s="36"/>
    </row>
    <row r="306593" spans="31:32" x14ac:dyDescent="0.25">
      <c r="AE306593" s="34"/>
      <c r="AF306593" s="34"/>
    </row>
    <row r="306601" spans="31:32" x14ac:dyDescent="0.25">
      <c r="AE306601" s="36"/>
      <c r="AF306601" s="36"/>
    </row>
    <row r="306697" spans="31:32" x14ac:dyDescent="0.25">
      <c r="AE306697" s="34"/>
      <c r="AF306697" s="34"/>
    </row>
    <row r="306705" spans="31:32" x14ac:dyDescent="0.25">
      <c r="AE306705" s="36"/>
      <c r="AF306705" s="36"/>
    </row>
    <row r="306801" spans="31:32" x14ac:dyDescent="0.25">
      <c r="AE306801" s="34"/>
      <c r="AF306801" s="34"/>
    </row>
    <row r="306809" spans="31:32" x14ac:dyDescent="0.25">
      <c r="AE306809" s="36"/>
      <c r="AF306809" s="36"/>
    </row>
    <row r="306905" spans="31:32" x14ac:dyDescent="0.25">
      <c r="AE306905" s="34"/>
      <c r="AF306905" s="34"/>
    </row>
    <row r="306913" spans="31:32" x14ac:dyDescent="0.25">
      <c r="AE306913" s="36"/>
      <c r="AF306913" s="36"/>
    </row>
    <row r="307009" spans="31:32" x14ac:dyDescent="0.25">
      <c r="AE307009" s="34"/>
      <c r="AF307009" s="34"/>
    </row>
    <row r="307017" spans="31:32" x14ac:dyDescent="0.25">
      <c r="AE307017" s="36"/>
      <c r="AF307017" s="36"/>
    </row>
    <row r="307113" spans="31:32" x14ac:dyDescent="0.25">
      <c r="AE307113" s="34"/>
      <c r="AF307113" s="34"/>
    </row>
    <row r="307121" spans="31:32" x14ac:dyDescent="0.25">
      <c r="AE307121" s="36"/>
      <c r="AF307121" s="36"/>
    </row>
    <row r="307217" spans="31:32" x14ac:dyDescent="0.25">
      <c r="AE307217" s="34"/>
      <c r="AF307217" s="34"/>
    </row>
    <row r="307225" spans="31:32" x14ac:dyDescent="0.25">
      <c r="AE307225" s="36"/>
      <c r="AF307225" s="36"/>
    </row>
    <row r="307321" spans="31:32" x14ac:dyDescent="0.25">
      <c r="AE307321" s="34"/>
      <c r="AF307321" s="34"/>
    </row>
    <row r="307329" spans="31:32" x14ac:dyDescent="0.25">
      <c r="AE307329" s="36"/>
      <c r="AF307329" s="36"/>
    </row>
    <row r="307425" spans="31:32" x14ac:dyDescent="0.25">
      <c r="AE307425" s="34"/>
      <c r="AF307425" s="34"/>
    </row>
    <row r="307433" spans="31:32" x14ac:dyDescent="0.25">
      <c r="AE307433" s="36"/>
      <c r="AF307433" s="36"/>
    </row>
    <row r="307529" spans="31:32" x14ac:dyDescent="0.25">
      <c r="AE307529" s="34"/>
      <c r="AF307529" s="34"/>
    </row>
    <row r="307537" spans="31:32" x14ac:dyDescent="0.25">
      <c r="AE307537" s="36"/>
      <c r="AF307537" s="36"/>
    </row>
    <row r="307633" spans="31:32" x14ac:dyDescent="0.25">
      <c r="AE307633" s="34"/>
      <c r="AF307633" s="34"/>
    </row>
    <row r="307641" spans="31:32" x14ac:dyDescent="0.25">
      <c r="AE307641" s="36"/>
      <c r="AF307641" s="36"/>
    </row>
    <row r="307737" spans="31:32" x14ac:dyDescent="0.25">
      <c r="AE307737" s="34"/>
      <c r="AF307737" s="34"/>
    </row>
    <row r="307745" spans="31:32" x14ac:dyDescent="0.25">
      <c r="AE307745" s="36"/>
      <c r="AF307745" s="36"/>
    </row>
    <row r="307841" spans="31:32" x14ac:dyDescent="0.25">
      <c r="AE307841" s="34"/>
      <c r="AF307841" s="34"/>
    </row>
    <row r="307849" spans="31:32" x14ac:dyDescent="0.25">
      <c r="AE307849" s="36"/>
      <c r="AF307849" s="36"/>
    </row>
    <row r="307945" spans="31:32" x14ac:dyDescent="0.25">
      <c r="AE307945" s="34"/>
      <c r="AF307945" s="34"/>
    </row>
    <row r="307953" spans="31:32" x14ac:dyDescent="0.25">
      <c r="AE307953" s="36"/>
      <c r="AF307953" s="36"/>
    </row>
    <row r="308049" spans="31:32" x14ac:dyDescent="0.25">
      <c r="AE308049" s="34"/>
      <c r="AF308049" s="34"/>
    </row>
    <row r="308057" spans="31:32" x14ac:dyDescent="0.25">
      <c r="AE308057" s="36"/>
      <c r="AF308057" s="36"/>
    </row>
    <row r="308153" spans="31:32" x14ac:dyDescent="0.25">
      <c r="AE308153" s="34"/>
      <c r="AF308153" s="34"/>
    </row>
    <row r="308161" spans="31:32" x14ac:dyDescent="0.25">
      <c r="AE308161" s="36"/>
      <c r="AF308161" s="36"/>
    </row>
    <row r="308257" spans="31:32" x14ac:dyDescent="0.25">
      <c r="AE308257" s="34"/>
      <c r="AF308257" s="34"/>
    </row>
    <row r="308265" spans="31:32" x14ac:dyDescent="0.25">
      <c r="AE308265" s="36"/>
      <c r="AF308265" s="36"/>
    </row>
    <row r="308361" spans="31:32" x14ac:dyDescent="0.25">
      <c r="AE308361" s="34"/>
      <c r="AF308361" s="34"/>
    </row>
    <row r="308369" spans="31:32" x14ac:dyDescent="0.25">
      <c r="AE308369" s="36"/>
      <c r="AF308369" s="36"/>
    </row>
    <row r="308465" spans="31:32" x14ac:dyDescent="0.25">
      <c r="AE308465" s="34"/>
      <c r="AF308465" s="34"/>
    </row>
    <row r="308473" spans="31:32" x14ac:dyDescent="0.25">
      <c r="AE308473" s="36"/>
      <c r="AF308473" s="36"/>
    </row>
    <row r="308569" spans="31:32" x14ac:dyDescent="0.25">
      <c r="AE308569" s="34"/>
      <c r="AF308569" s="34"/>
    </row>
    <row r="308577" spans="31:32" x14ac:dyDescent="0.25">
      <c r="AE308577" s="36"/>
      <c r="AF308577" s="36"/>
    </row>
    <row r="308673" spans="31:32" x14ac:dyDescent="0.25">
      <c r="AE308673" s="34"/>
      <c r="AF308673" s="34"/>
    </row>
    <row r="308681" spans="31:32" x14ac:dyDescent="0.25">
      <c r="AE308681" s="36"/>
      <c r="AF308681" s="36"/>
    </row>
    <row r="308777" spans="31:32" x14ac:dyDescent="0.25">
      <c r="AE308777" s="34"/>
      <c r="AF308777" s="34"/>
    </row>
    <row r="308785" spans="31:32" x14ac:dyDescent="0.25">
      <c r="AE308785" s="36"/>
      <c r="AF308785" s="36"/>
    </row>
    <row r="308881" spans="31:32" x14ac:dyDescent="0.25">
      <c r="AE308881" s="34"/>
      <c r="AF308881" s="34"/>
    </row>
    <row r="308889" spans="31:32" x14ac:dyDescent="0.25">
      <c r="AE308889" s="36"/>
      <c r="AF308889" s="36"/>
    </row>
    <row r="308985" spans="31:32" x14ac:dyDescent="0.25">
      <c r="AE308985" s="34"/>
      <c r="AF308985" s="34"/>
    </row>
    <row r="308993" spans="31:32" x14ac:dyDescent="0.25">
      <c r="AE308993" s="36"/>
      <c r="AF308993" s="36"/>
    </row>
    <row r="309089" spans="31:32" x14ac:dyDescent="0.25">
      <c r="AE309089" s="34"/>
      <c r="AF309089" s="34"/>
    </row>
    <row r="309097" spans="31:32" x14ac:dyDescent="0.25">
      <c r="AE309097" s="36"/>
      <c r="AF309097" s="36"/>
    </row>
    <row r="309193" spans="31:32" x14ac:dyDescent="0.25">
      <c r="AE309193" s="34"/>
      <c r="AF309193" s="34"/>
    </row>
    <row r="309201" spans="31:32" x14ac:dyDescent="0.25">
      <c r="AE309201" s="36"/>
      <c r="AF309201" s="36"/>
    </row>
    <row r="309297" spans="31:32" x14ac:dyDescent="0.25">
      <c r="AE309297" s="34"/>
      <c r="AF309297" s="34"/>
    </row>
    <row r="309305" spans="31:32" x14ac:dyDescent="0.25">
      <c r="AE309305" s="36"/>
      <c r="AF309305" s="36"/>
    </row>
    <row r="309401" spans="31:32" x14ac:dyDescent="0.25">
      <c r="AE309401" s="34"/>
      <c r="AF309401" s="34"/>
    </row>
    <row r="309409" spans="31:32" x14ac:dyDescent="0.25">
      <c r="AE309409" s="36"/>
      <c r="AF309409" s="36"/>
    </row>
    <row r="309505" spans="31:32" x14ac:dyDescent="0.25">
      <c r="AE309505" s="34"/>
      <c r="AF309505" s="34"/>
    </row>
    <row r="309513" spans="31:32" x14ac:dyDescent="0.25">
      <c r="AE309513" s="36"/>
      <c r="AF309513" s="36"/>
    </row>
    <row r="309609" spans="31:32" x14ac:dyDescent="0.25">
      <c r="AE309609" s="34"/>
      <c r="AF309609" s="34"/>
    </row>
    <row r="309617" spans="31:32" x14ac:dyDescent="0.25">
      <c r="AE309617" s="36"/>
      <c r="AF309617" s="36"/>
    </row>
    <row r="309713" spans="31:32" x14ac:dyDescent="0.25">
      <c r="AE309713" s="34"/>
      <c r="AF309713" s="34"/>
    </row>
    <row r="309721" spans="31:32" x14ac:dyDescent="0.25">
      <c r="AE309721" s="36"/>
      <c r="AF309721" s="36"/>
    </row>
    <row r="309817" spans="31:32" x14ac:dyDescent="0.25">
      <c r="AE309817" s="34"/>
      <c r="AF309817" s="34"/>
    </row>
    <row r="309825" spans="31:32" x14ac:dyDescent="0.25">
      <c r="AE309825" s="36"/>
      <c r="AF309825" s="36"/>
    </row>
    <row r="309921" spans="31:32" x14ac:dyDescent="0.25">
      <c r="AE309921" s="34"/>
      <c r="AF309921" s="34"/>
    </row>
    <row r="309929" spans="31:32" x14ac:dyDescent="0.25">
      <c r="AE309929" s="36"/>
      <c r="AF309929" s="36"/>
    </row>
    <row r="310025" spans="31:32" x14ac:dyDescent="0.25">
      <c r="AE310025" s="34"/>
      <c r="AF310025" s="34"/>
    </row>
    <row r="310033" spans="31:32" x14ac:dyDescent="0.25">
      <c r="AE310033" s="36"/>
      <c r="AF310033" s="36"/>
    </row>
    <row r="310129" spans="31:32" x14ac:dyDescent="0.25">
      <c r="AE310129" s="34"/>
      <c r="AF310129" s="34"/>
    </row>
    <row r="310137" spans="31:32" x14ac:dyDescent="0.25">
      <c r="AE310137" s="36"/>
      <c r="AF310137" s="36"/>
    </row>
    <row r="310233" spans="31:32" x14ac:dyDescent="0.25">
      <c r="AE310233" s="34"/>
      <c r="AF310233" s="34"/>
    </row>
    <row r="310241" spans="31:32" x14ac:dyDescent="0.25">
      <c r="AE310241" s="36"/>
      <c r="AF310241" s="36"/>
    </row>
    <row r="310337" spans="31:32" x14ac:dyDescent="0.25">
      <c r="AE310337" s="34"/>
      <c r="AF310337" s="34"/>
    </row>
    <row r="310345" spans="31:32" x14ac:dyDescent="0.25">
      <c r="AE310345" s="36"/>
      <c r="AF310345" s="36"/>
    </row>
    <row r="310441" spans="31:32" x14ac:dyDescent="0.25">
      <c r="AE310441" s="34"/>
      <c r="AF310441" s="34"/>
    </row>
    <row r="310449" spans="31:32" x14ac:dyDescent="0.25">
      <c r="AE310449" s="36"/>
      <c r="AF310449" s="36"/>
    </row>
    <row r="310545" spans="31:32" x14ac:dyDescent="0.25">
      <c r="AE310545" s="34"/>
      <c r="AF310545" s="34"/>
    </row>
    <row r="310553" spans="31:32" x14ac:dyDescent="0.25">
      <c r="AE310553" s="36"/>
      <c r="AF310553" s="36"/>
    </row>
    <row r="310649" spans="31:32" x14ac:dyDescent="0.25">
      <c r="AE310649" s="34"/>
      <c r="AF310649" s="34"/>
    </row>
    <row r="310657" spans="31:32" x14ac:dyDescent="0.25">
      <c r="AE310657" s="36"/>
      <c r="AF310657" s="36"/>
    </row>
    <row r="310753" spans="31:32" x14ac:dyDescent="0.25">
      <c r="AE310753" s="34"/>
      <c r="AF310753" s="34"/>
    </row>
    <row r="310761" spans="31:32" x14ac:dyDescent="0.25">
      <c r="AE310761" s="36"/>
      <c r="AF310761" s="36"/>
    </row>
    <row r="310857" spans="31:32" x14ac:dyDescent="0.25">
      <c r="AE310857" s="34"/>
      <c r="AF310857" s="34"/>
    </row>
    <row r="310865" spans="31:32" x14ac:dyDescent="0.25">
      <c r="AE310865" s="36"/>
      <c r="AF310865" s="36"/>
    </row>
    <row r="310961" spans="31:32" x14ac:dyDescent="0.25">
      <c r="AE310961" s="34"/>
      <c r="AF310961" s="34"/>
    </row>
    <row r="310969" spans="31:32" x14ac:dyDescent="0.25">
      <c r="AE310969" s="36"/>
      <c r="AF310969" s="36"/>
    </row>
    <row r="311065" spans="31:32" x14ac:dyDescent="0.25">
      <c r="AE311065" s="34"/>
      <c r="AF311065" s="34"/>
    </row>
    <row r="311073" spans="31:32" x14ac:dyDescent="0.25">
      <c r="AE311073" s="36"/>
      <c r="AF311073" s="36"/>
    </row>
    <row r="311169" spans="31:32" x14ac:dyDescent="0.25">
      <c r="AE311169" s="34"/>
      <c r="AF311169" s="34"/>
    </row>
    <row r="311177" spans="31:32" x14ac:dyDescent="0.25">
      <c r="AE311177" s="36"/>
      <c r="AF311177" s="36"/>
    </row>
    <row r="311273" spans="31:32" x14ac:dyDescent="0.25">
      <c r="AE311273" s="34"/>
      <c r="AF311273" s="34"/>
    </row>
    <row r="311281" spans="31:32" x14ac:dyDescent="0.25">
      <c r="AE311281" s="36"/>
      <c r="AF311281" s="36"/>
    </row>
    <row r="311377" spans="31:32" x14ac:dyDescent="0.25">
      <c r="AE311377" s="34"/>
      <c r="AF311377" s="34"/>
    </row>
    <row r="311385" spans="31:32" x14ac:dyDescent="0.25">
      <c r="AE311385" s="36"/>
      <c r="AF311385" s="36"/>
    </row>
    <row r="311481" spans="31:32" x14ac:dyDescent="0.25">
      <c r="AE311481" s="34"/>
      <c r="AF311481" s="34"/>
    </row>
    <row r="311489" spans="31:32" x14ac:dyDescent="0.25">
      <c r="AE311489" s="36"/>
      <c r="AF311489" s="36"/>
    </row>
    <row r="311585" spans="31:32" x14ac:dyDescent="0.25">
      <c r="AE311585" s="34"/>
      <c r="AF311585" s="34"/>
    </row>
    <row r="311593" spans="31:32" x14ac:dyDescent="0.25">
      <c r="AE311593" s="36"/>
      <c r="AF311593" s="36"/>
    </row>
    <row r="311689" spans="31:32" x14ac:dyDescent="0.25">
      <c r="AE311689" s="34"/>
      <c r="AF311689" s="34"/>
    </row>
    <row r="311697" spans="31:32" x14ac:dyDescent="0.25">
      <c r="AE311697" s="36"/>
      <c r="AF311697" s="36"/>
    </row>
    <row r="311793" spans="31:32" x14ac:dyDescent="0.25">
      <c r="AE311793" s="34"/>
      <c r="AF311793" s="34"/>
    </row>
    <row r="311801" spans="31:32" x14ac:dyDescent="0.25">
      <c r="AE311801" s="36"/>
      <c r="AF311801" s="36"/>
    </row>
    <row r="311897" spans="31:32" x14ac:dyDescent="0.25">
      <c r="AE311897" s="34"/>
      <c r="AF311897" s="34"/>
    </row>
    <row r="311905" spans="31:32" x14ac:dyDescent="0.25">
      <c r="AE311905" s="36"/>
      <c r="AF311905" s="36"/>
    </row>
    <row r="312001" spans="31:32" x14ac:dyDescent="0.25">
      <c r="AE312001" s="34"/>
      <c r="AF312001" s="34"/>
    </row>
    <row r="312009" spans="31:32" x14ac:dyDescent="0.25">
      <c r="AE312009" s="36"/>
      <c r="AF312009" s="36"/>
    </row>
    <row r="312105" spans="31:32" x14ac:dyDescent="0.25">
      <c r="AE312105" s="34"/>
      <c r="AF312105" s="34"/>
    </row>
    <row r="312113" spans="31:32" x14ac:dyDescent="0.25">
      <c r="AE312113" s="36"/>
      <c r="AF312113" s="36"/>
    </row>
    <row r="312209" spans="31:32" x14ac:dyDescent="0.25">
      <c r="AE312209" s="34"/>
      <c r="AF312209" s="34"/>
    </row>
    <row r="312217" spans="31:32" x14ac:dyDescent="0.25">
      <c r="AE312217" s="36"/>
      <c r="AF312217" s="36"/>
    </row>
    <row r="312313" spans="31:32" x14ac:dyDescent="0.25">
      <c r="AE312313" s="34"/>
      <c r="AF312313" s="34"/>
    </row>
    <row r="312321" spans="31:32" x14ac:dyDescent="0.25">
      <c r="AE312321" s="36"/>
      <c r="AF312321" s="36"/>
    </row>
    <row r="312417" spans="31:32" x14ac:dyDescent="0.25">
      <c r="AE312417" s="34"/>
      <c r="AF312417" s="34"/>
    </row>
    <row r="312425" spans="31:32" x14ac:dyDescent="0.25">
      <c r="AE312425" s="36"/>
      <c r="AF312425" s="36"/>
    </row>
    <row r="312521" spans="31:32" x14ac:dyDescent="0.25">
      <c r="AE312521" s="34"/>
      <c r="AF312521" s="34"/>
    </row>
    <row r="312529" spans="31:32" x14ac:dyDescent="0.25">
      <c r="AE312529" s="36"/>
      <c r="AF312529" s="36"/>
    </row>
    <row r="312625" spans="31:32" x14ac:dyDescent="0.25">
      <c r="AE312625" s="34"/>
      <c r="AF312625" s="34"/>
    </row>
    <row r="312633" spans="31:32" x14ac:dyDescent="0.25">
      <c r="AE312633" s="36"/>
      <c r="AF312633" s="36"/>
    </row>
    <row r="312729" spans="31:32" x14ac:dyDescent="0.25">
      <c r="AE312729" s="34"/>
      <c r="AF312729" s="34"/>
    </row>
    <row r="312737" spans="31:32" x14ac:dyDescent="0.25">
      <c r="AE312737" s="36"/>
      <c r="AF312737" s="36"/>
    </row>
    <row r="312833" spans="31:32" x14ac:dyDescent="0.25">
      <c r="AE312833" s="34"/>
      <c r="AF312833" s="34"/>
    </row>
    <row r="312841" spans="31:32" x14ac:dyDescent="0.25">
      <c r="AE312841" s="36"/>
      <c r="AF312841" s="36"/>
    </row>
    <row r="312937" spans="31:32" x14ac:dyDescent="0.25">
      <c r="AE312937" s="34"/>
      <c r="AF312937" s="34"/>
    </row>
    <row r="312945" spans="31:32" x14ac:dyDescent="0.25">
      <c r="AE312945" s="36"/>
      <c r="AF312945" s="36"/>
    </row>
    <row r="313041" spans="31:32" x14ac:dyDescent="0.25">
      <c r="AE313041" s="34"/>
      <c r="AF313041" s="34"/>
    </row>
    <row r="313049" spans="31:32" x14ac:dyDescent="0.25">
      <c r="AE313049" s="36"/>
      <c r="AF313049" s="36"/>
    </row>
    <row r="313145" spans="31:32" x14ac:dyDescent="0.25">
      <c r="AE313145" s="34"/>
      <c r="AF313145" s="34"/>
    </row>
    <row r="313153" spans="31:32" x14ac:dyDescent="0.25">
      <c r="AE313153" s="36"/>
      <c r="AF313153" s="36"/>
    </row>
    <row r="313249" spans="31:32" x14ac:dyDescent="0.25">
      <c r="AE313249" s="34"/>
      <c r="AF313249" s="34"/>
    </row>
    <row r="313257" spans="31:32" x14ac:dyDescent="0.25">
      <c r="AE313257" s="36"/>
      <c r="AF313257" s="36"/>
    </row>
    <row r="313353" spans="31:32" x14ac:dyDescent="0.25">
      <c r="AE313353" s="34"/>
      <c r="AF313353" s="34"/>
    </row>
    <row r="313361" spans="31:32" x14ac:dyDescent="0.25">
      <c r="AE313361" s="36"/>
      <c r="AF313361" s="36"/>
    </row>
    <row r="313457" spans="31:32" x14ac:dyDescent="0.25">
      <c r="AE313457" s="34"/>
      <c r="AF313457" s="34"/>
    </row>
    <row r="313465" spans="31:32" x14ac:dyDescent="0.25">
      <c r="AE313465" s="36"/>
      <c r="AF313465" s="36"/>
    </row>
    <row r="313561" spans="31:32" x14ac:dyDescent="0.25">
      <c r="AE313561" s="34"/>
      <c r="AF313561" s="34"/>
    </row>
    <row r="313569" spans="31:32" x14ac:dyDescent="0.25">
      <c r="AE313569" s="36"/>
      <c r="AF313569" s="36"/>
    </row>
    <row r="313665" spans="31:32" x14ac:dyDescent="0.25">
      <c r="AE313665" s="34"/>
      <c r="AF313665" s="34"/>
    </row>
    <row r="313673" spans="31:32" x14ac:dyDescent="0.25">
      <c r="AE313673" s="36"/>
      <c r="AF313673" s="36"/>
    </row>
    <row r="313769" spans="31:32" x14ac:dyDescent="0.25">
      <c r="AE313769" s="34"/>
      <c r="AF313769" s="34"/>
    </row>
    <row r="313777" spans="31:32" x14ac:dyDescent="0.25">
      <c r="AE313777" s="36"/>
      <c r="AF313777" s="36"/>
    </row>
    <row r="313873" spans="31:32" x14ac:dyDescent="0.25">
      <c r="AE313873" s="34"/>
      <c r="AF313873" s="34"/>
    </row>
    <row r="313881" spans="31:32" x14ac:dyDescent="0.25">
      <c r="AE313881" s="36"/>
      <c r="AF313881" s="36"/>
    </row>
    <row r="313977" spans="31:32" x14ac:dyDescent="0.25">
      <c r="AE313977" s="34"/>
      <c r="AF313977" s="34"/>
    </row>
    <row r="313985" spans="31:32" x14ac:dyDescent="0.25">
      <c r="AE313985" s="36"/>
      <c r="AF313985" s="36"/>
    </row>
    <row r="314081" spans="31:32" x14ac:dyDescent="0.25">
      <c r="AE314081" s="34"/>
      <c r="AF314081" s="34"/>
    </row>
    <row r="314089" spans="31:32" x14ac:dyDescent="0.25">
      <c r="AE314089" s="36"/>
      <c r="AF314089" s="36"/>
    </row>
    <row r="314185" spans="31:32" x14ac:dyDescent="0.25">
      <c r="AE314185" s="34"/>
      <c r="AF314185" s="34"/>
    </row>
    <row r="314193" spans="31:32" x14ac:dyDescent="0.25">
      <c r="AE314193" s="36"/>
      <c r="AF314193" s="36"/>
    </row>
    <row r="314289" spans="31:32" x14ac:dyDescent="0.25">
      <c r="AE314289" s="34"/>
      <c r="AF314289" s="34"/>
    </row>
    <row r="314297" spans="31:32" x14ac:dyDescent="0.25">
      <c r="AE314297" s="36"/>
      <c r="AF314297" s="36"/>
    </row>
    <row r="314393" spans="31:32" x14ac:dyDescent="0.25">
      <c r="AE314393" s="34"/>
      <c r="AF314393" s="34"/>
    </row>
    <row r="314401" spans="31:32" x14ac:dyDescent="0.25">
      <c r="AE314401" s="36"/>
      <c r="AF314401" s="36"/>
    </row>
    <row r="314497" spans="31:32" x14ac:dyDescent="0.25">
      <c r="AE314497" s="34"/>
      <c r="AF314497" s="34"/>
    </row>
    <row r="314505" spans="31:32" x14ac:dyDescent="0.25">
      <c r="AE314505" s="36"/>
      <c r="AF314505" s="36"/>
    </row>
    <row r="314601" spans="31:32" x14ac:dyDescent="0.25">
      <c r="AE314601" s="34"/>
      <c r="AF314601" s="34"/>
    </row>
    <row r="314609" spans="31:32" x14ac:dyDescent="0.25">
      <c r="AE314609" s="36"/>
      <c r="AF314609" s="36"/>
    </row>
    <row r="314705" spans="31:32" x14ac:dyDescent="0.25">
      <c r="AE314705" s="34"/>
      <c r="AF314705" s="34"/>
    </row>
    <row r="314713" spans="31:32" x14ac:dyDescent="0.25">
      <c r="AE314713" s="36"/>
      <c r="AF314713" s="36"/>
    </row>
    <row r="314809" spans="31:32" x14ac:dyDescent="0.25">
      <c r="AE314809" s="34"/>
      <c r="AF314809" s="34"/>
    </row>
    <row r="314817" spans="31:32" x14ac:dyDescent="0.25">
      <c r="AE314817" s="36"/>
      <c r="AF314817" s="36"/>
    </row>
    <row r="314913" spans="31:32" x14ac:dyDescent="0.25">
      <c r="AE314913" s="34"/>
      <c r="AF314913" s="34"/>
    </row>
    <row r="314921" spans="31:32" x14ac:dyDescent="0.25">
      <c r="AE314921" s="36"/>
      <c r="AF314921" s="36"/>
    </row>
    <row r="315017" spans="31:32" x14ac:dyDescent="0.25">
      <c r="AE315017" s="34"/>
      <c r="AF315017" s="34"/>
    </row>
    <row r="315025" spans="31:32" x14ac:dyDescent="0.25">
      <c r="AE315025" s="36"/>
      <c r="AF315025" s="36"/>
    </row>
    <row r="315121" spans="31:32" x14ac:dyDescent="0.25">
      <c r="AE315121" s="34"/>
      <c r="AF315121" s="34"/>
    </row>
    <row r="315129" spans="31:32" x14ac:dyDescent="0.25">
      <c r="AE315129" s="36"/>
      <c r="AF315129" s="36"/>
    </row>
    <row r="315225" spans="31:32" x14ac:dyDescent="0.25">
      <c r="AE315225" s="34"/>
      <c r="AF315225" s="34"/>
    </row>
    <row r="315233" spans="31:32" x14ac:dyDescent="0.25">
      <c r="AE315233" s="36"/>
      <c r="AF315233" s="36"/>
    </row>
    <row r="315329" spans="31:32" x14ac:dyDescent="0.25">
      <c r="AE315329" s="34"/>
      <c r="AF315329" s="34"/>
    </row>
    <row r="315337" spans="31:32" x14ac:dyDescent="0.25">
      <c r="AE315337" s="36"/>
      <c r="AF315337" s="36"/>
    </row>
    <row r="315433" spans="31:32" x14ac:dyDescent="0.25">
      <c r="AE315433" s="34"/>
      <c r="AF315433" s="34"/>
    </row>
    <row r="315441" spans="31:32" x14ac:dyDescent="0.25">
      <c r="AE315441" s="36"/>
      <c r="AF315441" s="36"/>
    </row>
    <row r="315537" spans="31:32" x14ac:dyDescent="0.25">
      <c r="AE315537" s="34"/>
      <c r="AF315537" s="34"/>
    </row>
    <row r="315545" spans="31:32" x14ac:dyDescent="0.25">
      <c r="AE315545" s="36"/>
      <c r="AF315545" s="36"/>
    </row>
    <row r="315641" spans="31:32" x14ac:dyDescent="0.25">
      <c r="AE315641" s="34"/>
      <c r="AF315641" s="34"/>
    </row>
    <row r="315649" spans="31:32" x14ac:dyDescent="0.25">
      <c r="AE315649" s="36"/>
      <c r="AF315649" s="36"/>
    </row>
    <row r="315745" spans="31:32" x14ac:dyDescent="0.25">
      <c r="AE315745" s="34"/>
      <c r="AF315745" s="34"/>
    </row>
    <row r="315753" spans="31:32" x14ac:dyDescent="0.25">
      <c r="AE315753" s="36"/>
      <c r="AF315753" s="36"/>
    </row>
    <row r="315849" spans="31:32" x14ac:dyDescent="0.25">
      <c r="AE315849" s="34"/>
      <c r="AF315849" s="34"/>
    </row>
    <row r="315857" spans="31:32" x14ac:dyDescent="0.25">
      <c r="AE315857" s="36"/>
      <c r="AF315857" s="36"/>
    </row>
    <row r="315953" spans="31:32" x14ac:dyDescent="0.25">
      <c r="AE315953" s="34"/>
      <c r="AF315953" s="34"/>
    </row>
    <row r="315961" spans="31:32" x14ac:dyDescent="0.25">
      <c r="AE315961" s="36"/>
      <c r="AF315961" s="36"/>
    </row>
    <row r="316057" spans="31:32" x14ac:dyDescent="0.25">
      <c r="AE316057" s="34"/>
      <c r="AF316057" s="34"/>
    </row>
    <row r="316065" spans="31:32" x14ac:dyDescent="0.25">
      <c r="AE316065" s="36"/>
      <c r="AF316065" s="36"/>
    </row>
    <row r="316161" spans="31:32" x14ac:dyDescent="0.25">
      <c r="AE316161" s="34"/>
      <c r="AF316161" s="34"/>
    </row>
    <row r="316169" spans="31:32" x14ac:dyDescent="0.25">
      <c r="AE316169" s="36"/>
      <c r="AF316169" s="36"/>
    </row>
    <row r="316265" spans="31:32" x14ac:dyDescent="0.25">
      <c r="AE316265" s="34"/>
      <c r="AF316265" s="34"/>
    </row>
    <row r="316273" spans="31:32" x14ac:dyDescent="0.25">
      <c r="AE316273" s="36"/>
      <c r="AF316273" s="36"/>
    </row>
    <row r="316369" spans="31:32" x14ac:dyDescent="0.25">
      <c r="AE316369" s="34"/>
      <c r="AF316369" s="34"/>
    </row>
    <row r="316377" spans="31:32" x14ac:dyDescent="0.25">
      <c r="AE316377" s="36"/>
      <c r="AF316377" s="36"/>
    </row>
    <row r="316473" spans="31:32" x14ac:dyDescent="0.25">
      <c r="AE316473" s="34"/>
      <c r="AF316473" s="34"/>
    </row>
    <row r="316481" spans="31:32" x14ac:dyDescent="0.25">
      <c r="AE316481" s="36"/>
      <c r="AF316481" s="36"/>
    </row>
    <row r="316577" spans="31:32" x14ac:dyDescent="0.25">
      <c r="AE316577" s="34"/>
      <c r="AF316577" s="34"/>
    </row>
    <row r="316585" spans="31:32" x14ac:dyDescent="0.25">
      <c r="AE316585" s="36"/>
      <c r="AF316585" s="36"/>
    </row>
    <row r="316681" spans="31:32" x14ac:dyDescent="0.25">
      <c r="AE316681" s="34"/>
      <c r="AF316681" s="34"/>
    </row>
    <row r="316689" spans="31:32" x14ac:dyDescent="0.25">
      <c r="AE316689" s="36"/>
      <c r="AF316689" s="36"/>
    </row>
    <row r="316785" spans="31:32" x14ac:dyDescent="0.25">
      <c r="AE316785" s="34"/>
      <c r="AF316785" s="34"/>
    </row>
    <row r="316793" spans="31:32" x14ac:dyDescent="0.25">
      <c r="AE316793" s="36"/>
      <c r="AF316793" s="36"/>
    </row>
    <row r="316889" spans="31:32" x14ac:dyDescent="0.25">
      <c r="AE316889" s="34"/>
      <c r="AF316889" s="34"/>
    </row>
    <row r="316897" spans="31:32" x14ac:dyDescent="0.25">
      <c r="AE316897" s="36"/>
      <c r="AF316897" s="36"/>
    </row>
    <row r="316993" spans="31:32" x14ac:dyDescent="0.25">
      <c r="AE316993" s="34"/>
      <c r="AF316993" s="34"/>
    </row>
    <row r="317001" spans="31:32" x14ac:dyDescent="0.25">
      <c r="AE317001" s="36"/>
      <c r="AF317001" s="36"/>
    </row>
    <row r="317097" spans="31:32" x14ac:dyDescent="0.25">
      <c r="AE317097" s="34"/>
      <c r="AF317097" s="34"/>
    </row>
    <row r="317105" spans="31:32" x14ac:dyDescent="0.25">
      <c r="AE317105" s="36"/>
      <c r="AF317105" s="36"/>
    </row>
    <row r="317201" spans="31:32" x14ac:dyDescent="0.25">
      <c r="AE317201" s="34"/>
      <c r="AF317201" s="34"/>
    </row>
    <row r="317209" spans="31:32" x14ac:dyDescent="0.25">
      <c r="AE317209" s="36"/>
      <c r="AF317209" s="36"/>
    </row>
    <row r="317305" spans="31:32" x14ac:dyDescent="0.25">
      <c r="AE317305" s="34"/>
      <c r="AF317305" s="34"/>
    </row>
    <row r="317313" spans="31:32" x14ac:dyDescent="0.25">
      <c r="AE317313" s="36"/>
      <c r="AF317313" s="36"/>
    </row>
    <row r="317409" spans="31:32" x14ac:dyDescent="0.25">
      <c r="AE317409" s="34"/>
      <c r="AF317409" s="34"/>
    </row>
    <row r="317417" spans="31:32" x14ac:dyDescent="0.25">
      <c r="AE317417" s="36"/>
      <c r="AF317417" s="36"/>
    </row>
    <row r="317513" spans="31:32" x14ac:dyDescent="0.25">
      <c r="AE317513" s="34"/>
      <c r="AF317513" s="34"/>
    </row>
    <row r="317521" spans="31:32" x14ac:dyDescent="0.25">
      <c r="AE317521" s="36"/>
      <c r="AF317521" s="36"/>
    </row>
    <row r="317617" spans="31:32" x14ac:dyDescent="0.25">
      <c r="AE317617" s="34"/>
      <c r="AF317617" s="34"/>
    </row>
    <row r="317625" spans="31:32" x14ac:dyDescent="0.25">
      <c r="AE317625" s="36"/>
      <c r="AF317625" s="36"/>
    </row>
    <row r="317721" spans="31:32" x14ac:dyDescent="0.25">
      <c r="AE317721" s="34"/>
      <c r="AF317721" s="34"/>
    </row>
    <row r="317729" spans="31:32" x14ac:dyDescent="0.25">
      <c r="AE317729" s="36"/>
      <c r="AF317729" s="36"/>
    </row>
    <row r="317825" spans="31:32" x14ac:dyDescent="0.25">
      <c r="AE317825" s="34"/>
      <c r="AF317825" s="34"/>
    </row>
    <row r="317833" spans="31:32" x14ac:dyDescent="0.25">
      <c r="AE317833" s="36"/>
      <c r="AF317833" s="36"/>
    </row>
    <row r="317929" spans="31:32" x14ac:dyDescent="0.25">
      <c r="AE317929" s="34"/>
      <c r="AF317929" s="34"/>
    </row>
    <row r="317937" spans="31:32" x14ac:dyDescent="0.25">
      <c r="AE317937" s="36"/>
      <c r="AF317937" s="36"/>
    </row>
    <row r="318033" spans="31:32" x14ac:dyDescent="0.25">
      <c r="AE318033" s="34"/>
      <c r="AF318033" s="34"/>
    </row>
    <row r="318041" spans="31:32" x14ac:dyDescent="0.25">
      <c r="AE318041" s="36"/>
      <c r="AF318041" s="36"/>
    </row>
    <row r="318137" spans="31:32" x14ac:dyDescent="0.25">
      <c r="AE318137" s="34"/>
      <c r="AF318137" s="34"/>
    </row>
    <row r="318145" spans="31:32" x14ac:dyDescent="0.25">
      <c r="AE318145" s="36"/>
      <c r="AF318145" s="36"/>
    </row>
    <row r="318241" spans="31:32" x14ac:dyDescent="0.25">
      <c r="AE318241" s="34"/>
      <c r="AF318241" s="34"/>
    </row>
    <row r="318249" spans="31:32" x14ac:dyDescent="0.25">
      <c r="AE318249" s="36"/>
      <c r="AF318249" s="36"/>
    </row>
    <row r="318345" spans="31:32" x14ac:dyDescent="0.25">
      <c r="AE318345" s="34"/>
      <c r="AF318345" s="34"/>
    </row>
    <row r="318353" spans="31:32" x14ac:dyDescent="0.25">
      <c r="AE318353" s="36"/>
      <c r="AF318353" s="36"/>
    </row>
    <row r="318449" spans="31:32" x14ac:dyDescent="0.25">
      <c r="AE318449" s="34"/>
      <c r="AF318449" s="34"/>
    </row>
    <row r="318457" spans="31:32" x14ac:dyDescent="0.25">
      <c r="AE318457" s="36"/>
      <c r="AF318457" s="36"/>
    </row>
    <row r="318553" spans="31:32" x14ac:dyDescent="0.25">
      <c r="AE318553" s="34"/>
      <c r="AF318553" s="34"/>
    </row>
    <row r="318561" spans="31:32" x14ac:dyDescent="0.25">
      <c r="AE318561" s="36"/>
      <c r="AF318561" s="36"/>
    </row>
    <row r="318657" spans="31:32" x14ac:dyDescent="0.25">
      <c r="AE318657" s="34"/>
      <c r="AF318657" s="34"/>
    </row>
    <row r="318665" spans="31:32" x14ac:dyDescent="0.25">
      <c r="AE318665" s="36"/>
      <c r="AF318665" s="36"/>
    </row>
    <row r="318761" spans="31:32" x14ac:dyDescent="0.25">
      <c r="AE318761" s="34"/>
      <c r="AF318761" s="34"/>
    </row>
    <row r="318769" spans="31:32" x14ac:dyDescent="0.25">
      <c r="AE318769" s="36"/>
      <c r="AF318769" s="36"/>
    </row>
    <row r="318865" spans="31:32" x14ac:dyDescent="0.25">
      <c r="AE318865" s="34"/>
      <c r="AF318865" s="34"/>
    </row>
    <row r="318873" spans="31:32" x14ac:dyDescent="0.25">
      <c r="AE318873" s="36"/>
      <c r="AF318873" s="36"/>
    </row>
    <row r="318969" spans="31:32" x14ac:dyDescent="0.25">
      <c r="AE318969" s="34"/>
      <c r="AF318969" s="34"/>
    </row>
    <row r="318977" spans="31:32" x14ac:dyDescent="0.25">
      <c r="AE318977" s="36"/>
      <c r="AF318977" s="36"/>
    </row>
    <row r="319073" spans="31:32" x14ac:dyDescent="0.25">
      <c r="AE319073" s="34"/>
      <c r="AF319073" s="34"/>
    </row>
    <row r="319081" spans="31:32" x14ac:dyDescent="0.25">
      <c r="AE319081" s="36"/>
      <c r="AF319081" s="36"/>
    </row>
    <row r="319177" spans="31:32" x14ac:dyDescent="0.25">
      <c r="AE319177" s="34"/>
      <c r="AF319177" s="34"/>
    </row>
    <row r="319185" spans="31:32" x14ac:dyDescent="0.25">
      <c r="AE319185" s="36"/>
      <c r="AF319185" s="36"/>
    </row>
    <row r="319281" spans="31:32" x14ac:dyDescent="0.25">
      <c r="AE319281" s="34"/>
      <c r="AF319281" s="34"/>
    </row>
    <row r="319289" spans="31:32" x14ac:dyDescent="0.25">
      <c r="AE319289" s="36"/>
      <c r="AF319289" s="36"/>
    </row>
    <row r="319385" spans="31:32" x14ac:dyDescent="0.25">
      <c r="AE319385" s="34"/>
      <c r="AF319385" s="34"/>
    </row>
    <row r="319393" spans="31:32" x14ac:dyDescent="0.25">
      <c r="AE319393" s="36"/>
      <c r="AF319393" s="36"/>
    </row>
    <row r="319489" spans="31:32" x14ac:dyDescent="0.25">
      <c r="AE319489" s="34"/>
      <c r="AF319489" s="34"/>
    </row>
    <row r="319497" spans="31:32" x14ac:dyDescent="0.25">
      <c r="AE319497" s="36"/>
      <c r="AF319497" s="36"/>
    </row>
    <row r="319593" spans="31:32" x14ac:dyDescent="0.25">
      <c r="AE319593" s="34"/>
      <c r="AF319593" s="34"/>
    </row>
    <row r="319601" spans="31:32" x14ac:dyDescent="0.25">
      <c r="AE319601" s="36"/>
      <c r="AF319601" s="36"/>
    </row>
    <row r="319697" spans="31:32" x14ac:dyDescent="0.25">
      <c r="AE319697" s="34"/>
      <c r="AF319697" s="34"/>
    </row>
    <row r="319705" spans="31:32" x14ac:dyDescent="0.25">
      <c r="AE319705" s="36"/>
      <c r="AF319705" s="36"/>
    </row>
    <row r="319801" spans="31:32" x14ac:dyDescent="0.25">
      <c r="AE319801" s="34"/>
      <c r="AF319801" s="34"/>
    </row>
    <row r="319809" spans="31:32" x14ac:dyDescent="0.25">
      <c r="AE319809" s="36"/>
      <c r="AF319809" s="36"/>
    </row>
    <row r="319905" spans="31:32" x14ac:dyDescent="0.25">
      <c r="AE319905" s="34"/>
      <c r="AF319905" s="34"/>
    </row>
    <row r="319913" spans="31:32" x14ac:dyDescent="0.25">
      <c r="AE319913" s="36"/>
      <c r="AF319913" s="36"/>
    </row>
    <row r="320009" spans="31:32" x14ac:dyDescent="0.25">
      <c r="AE320009" s="34"/>
      <c r="AF320009" s="34"/>
    </row>
    <row r="320017" spans="31:32" x14ac:dyDescent="0.25">
      <c r="AE320017" s="36"/>
      <c r="AF320017" s="36"/>
    </row>
    <row r="320113" spans="31:32" x14ac:dyDescent="0.25">
      <c r="AE320113" s="34"/>
      <c r="AF320113" s="34"/>
    </row>
    <row r="320121" spans="31:32" x14ac:dyDescent="0.25">
      <c r="AE320121" s="36"/>
      <c r="AF320121" s="36"/>
    </row>
    <row r="320217" spans="31:32" x14ac:dyDescent="0.25">
      <c r="AE320217" s="34"/>
      <c r="AF320217" s="34"/>
    </row>
    <row r="320225" spans="31:32" x14ac:dyDescent="0.25">
      <c r="AE320225" s="36"/>
      <c r="AF320225" s="36"/>
    </row>
    <row r="320321" spans="31:32" x14ac:dyDescent="0.25">
      <c r="AE320321" s="34"/>
      <c r="AF320321" s="34"/>
    </row>
    <row r="320329" spans="31:32" x14ac:dyDescent="0.25">
      <c r="AE320329" s="36"/>
      <c r="AF320329" s="36"/>
    </row>
    <row r="320425" spans="31:32" x14ac:dyDescent="0.25">
      <c r="AE320425" s="34"/>
      <c r="AF320425" s="34"/>
    </row>
    <row r="320433" spans="31:32" x14ac:dyDescent="0.25">
      <c r="AE320433" s="36"/>
      <c r="AF320433" s="36"/>
    </row>
    <row r="320529" spans="31:32" x14ac:dyDescent="0.25">
      <c r="AE320529" s="34"/>
      <c r="AF320529" s="34"/>
    </row>
    <row r="320537" spans="31:32" x14ac:dyDescent="0.25">
      <c r="AE320537" s="36"/>
      <c r="AF320537" s="36"/>
    </row>
    <row r="320633" spans="31:32" x14ac:dyDescent="0.25">
      <c r="AE320633" s="34"/>
      <c r="AF320633" s="34"/>
    </row>
    <row r="320641" spans="31:32" x14ac:dyDescent="0.25">
      <c r="AE320641" s="36"/>
      <c r="AF320641" s="36"/>
    </row>
    <row r="320737" spans="31:32" x14ac:dyDescent="0.25">
      <c r="AE320737" s="34"/>
      <c r="AF320737" s="34"/>
    </row>
    <row r="320745" spans="31:32" x14ac:dyDescent="0.25">
      <c r="AE320745" s="36"/>
      <c r="AF320745" s="36"/>
    </row>
    <row r="320841" spans="31:32" x14ac:dyDescent="0.25">
      <c r="AE320841" s="34"/>
      <c r="AF320841" s="34"/>
    </row>
    <row r="320849" spans="31:32" x14ac:dyDescent="0.25">
      <c r="AE320849" s="36"/>
      <c r="AF320849" s="36"/>
    </row>
    <row r="320945" spans="31:32" x14ac:dyDescent="0.25">
      <c r="AE320945" s="34"/>
      <c r="AF320945" s="34"/>
    </row>
    <row r="320953" spans="31:32" x14ac:dyDescent="0.25">
      <c r="AE320953" s="36"/>
      <c r="AF320953" s="36"/>
    </row>
    <row r="321049" spans="31:32" x14ac:dyDescent="0.25">
      <c r="AE321049" s="34"/>
      <c r="AF321049" s="34"/>
    </row>
    <row r="321057" spans="31:32" x14ac:dyDescent="0.25">
      <c r="AE321057" s="36"/>
      <c r="AF321057" s="36"/>
    </row>
    <row r="321153" spans="31:32" x14ac:dyDescent="0.25">
      <c r="AE321153" s="34"/>
      <c r="AF321153" s="34"/>
    </row>
    <row r="321161" spans="31:32" x14ac:dyDescent="0.25">
      <c r="AE321161" s="36"/>
      <c r="AF321161" s="36"/>
    </row>
    <row r="321257" spans="31:32" x14ac:dyDescent="0.25">
      <c r="AE321257" s="34"/>
      <c r="AF321257" s="34"/>
    </row>
    <row r="321265" spans="31:32" x14ac:dyDescent="0.25">
      <c r="AE321265" s="36"/>
      <c r="AF321265" s="36"/>
    </row>
    <row r="321361" spans="31:32" x14ac:dyDescent="0.25">
      <c r="AE321361" s="34"/>
      <c r="AF321361" s="34"/>
    </row>
    <row r="321369" spans="31:32" x14ac:dyDescent="0.25">
      <c r="AE321369" s="36"/>
      <c r="AF321369" s="36"/>
    </row>
    <row r="321465" spans="31:32" x14ac:dyDescent="0.25">
      <c r="AE321465" s="34"/>
      <c r="AF321465" s="34"/>
    </row>
    <row r="321473" spans="31:32" x14ac:dyDescent="0.25">
      <c r="AE321473" s="36"/>
      <c r="AF321473" s="36"/>
    </row>
    <row r="321569" spans="31:32" x14ac:dyDescent="0.25">
      <c r="AE321569" s="34"/>
      <c r="AF321569" s="34"/>
    </row>
    <row r="321577" spans="31:32" x14ac:dyDescent="0.25">
      <c r="AE321577" s="36"/>
      <c r="AF321577" s="36"/>
    </row>
    <row r="321673" spans="31:32" x14ac:dyDescent="0.25">
      <c r="AE321673" s="34"/>
      <c r="AF321673" s="34"/>
    </row>
    <row r="321681" spans="31:32" x14ac:dyDescent="0.25">
      <c r="AE321681" s="36"/>
      <c r="AF321681" s="36"/>
    </row>
    <row r="321777" spans="31:32" x14ac:dyDescent="0.25">
      <c r="AE321777" s="34"/>
      <c r="AF321777" s="34"/>
    </row>
    <row r="321785" spans="31:32" x14ac:dyDescent="0.25">
      <c r="AE321785" s="36"/>
      <c r="AF321785" s="36"/>
    </row>
    <row r="321881" spans="31:32" x14ac:dyDescent="0.25">
      <c r="AE321881" s="34"/>
      <c r="AF321881" s="34"/>
    </row>
    <row r="321889" spans="31:32" x14ac:dyDescent="0.25">
      <c r="AE321889" s="36"/>
      <c r="AF321889" s="36"/>
    </row>
    <row r="321985" spans="31:32" x14ac:dyDescent="0.25">
      <c r="AE321985" s="34"/>
      <c r="AF321985" s="34"/>
    </row>
    <row r="321993" spans="31:32" x14ac:dyDescent="0.25">
      <c r="AE321993" s="36"/>
      <c r="AF321993" s="36"/>
    </row>
    <row r="322089" spans="31:32" x14ac:dyDescent="0.25">
      <c r="AE322089" s="34"/>
      <c r="AF322089" s="34"/>
    </row>
    <row r="322097" spans="31:32" x14ac:dyDescent="0.25">
      <c r="AE322097" s="36"/>
      <c r="AF322097" s="36"/>
    </row>
    <row r="322193" spans="31:32" x14ac:dyDescent="0.25">
      <c r="AE322193" s="34"/>
      <c r="AF322193" s="34"/>
    </row>
    <row r="322201" spans="31:32" x14ac:dyDescent="0.25">
      <c r="AE322201" s="36"/>
      <c r="AF322201" s="36"/>
    </row>
    <row r="322297" spans="31:32" x14ac:dyDescent="0.25">
      <c r="AE322297" s="34"/>
      <c r="AF322297" s="34"/>
    </row>
    <row r="322305" spans="31:32" x14ac:dyDescent="0.25">
      <c r="AE322305" s="36"/>
      <c r="AF322305" s="36"/>
    </row>
    <row r="322401" spans="31:32" x14ac:dyDescent="0.25">
      <c r="AE322401" s="34"/>
      <c r="AF322401" s="34"/>
    </row>
    <row r="322409" spans="31:32" x14ac:dyDescent="0.25">
      <c r="AE322409" s="36"/>
      <c r="AF322409" s="36"/>
    </row>
    <row r="322505" spans="31:32" x14ac:dyDescent="0.25">
      <c r="AE322505" s="34"/>
      <c r="AF322505" s="34"/>
    </row>
    <row r="322513" spans="31:32" x14ac:dyDescent="0.25">
      <c r="AE322513" s="36"/>
      <c r="AF322513" s="36"/>
    </row>
    <row r="322609" spans="31:32" x14ac:dyDescent="0.25">
      <c r="AE322609" s="34"/>
      <c r="AF322609" s="34"/>
    </row>
    <row r="322617" spans="31:32" x14ac:dyDescent="0.25">
      <c r="AE322617" s="36"/>
      <c r="AF322617" s="36"/>
    </row>
    <row r="322713" spans="31:32" x14ac:dyDescent="0.25">
      <c r="AE322713" s="34"/>
      <c r="AF322713" s="34"/>
    </row>
    <row r="322721" spans="31:32" x14ac:dyDescent="0.25">
      <c r="AE322721" s="36"/>
      <c r="AF322721" s="36"/>
    </row>
    <row r="322817" spans="31:32" x14ac:dyDescent="0.25">
      <c r="AE322817" s="34"/>
      <c r="AF322817" s="34"/>
    </row>
    <row r="322825" spans="31:32" x14ac:dyDescent="0.25">
      <c r="AE322825" s="36"/>
      <c r="AF322825" s="36"/>
    </row>
    <row r="322921" spans="31:32" x14ac:dyDescent="0.25">
      <c r="AE322921" s="34"/>
      <c r="AF322921" s="34"/>
    </row>
    <row r="322929" spans="31:32" x14ac:dyDescent="0.25">
      <c r="AE322929" s="36"/>
      <c r="AF322929" s="36"/>
    </row>
    <row r="323025" spans="31:32" x14ac:dyDescent="0.25">
      <c r="AE323025" s="34"/>
      <c r="AF323025" s="34"/>
    </row>
    <row r="323033" spans="31:32" x14ac:dyDescent="0.25">
      <c r="AE323033" s="36"/>
      <c r="AF323033" s="36"/>
    </row>
    <row r="323129" spans="31:32" x14ac:dyDescent="0.25">
      <c r="AE323129" s="34"/>
      <c r="AF323129" s="34"/>
    </row>
    <row r="323137" spans="31:32" x14ac:dyDescent="0.25">
      <c r="AE323137" s="36"/>
      <c r="AF323137" s="36"/>
    </row>
    <row r="323233" spans="31:32" x14ac:dyDescent="0.25">
      <c r="AE323233" s="34"/>
      <c r="AF323233" s="34"/>
    </row>
    <row r="323241" spans="31:32" x14ac:dyDescent="0.25">
      <c r="AE323241" s="36"/>
      <c r="AF323241" s="36"/>
    </row>
    <row r="323337" spans="31:32" x14ac:dyDescent="0.25">
      <c r="AE323337" s="34"/>
      <c r="AF323337" s="34"/>
    </row>
    <row r="323345" spans="31:32" x14ac:dyDescent="0.25">
      <c r="AE323345" s="36"/>
      <c r="AF323345" s="36"/>
    </row>
    <row r="323441" spans="31:32" x14ac:dyDescent="0.25">
      <c r="AE323441" s="34"/>
      <c r="AF323441" s="34"/>
    </row>
    <row r="323449" spans="31:32" x14ac:dyDescent="0.25">
      <c r="AE323449" s="36"/>
      <c r="AF323449" s="36"/>
    </row>
    <row r="323545" spans="31:32" x14ac:dyDescent="0.25">
      <c r="AE323545" s="34"/>
      <c r="AF323545" s="34"/>
    </row>
    <row r="323553" spans="31:32" x14ac:dyDescent="0.25">
      <c r="AE323553" s="36"/>
      <c r="AF323553" s="36"/>
    </row>
    <row r="323649" spans="31:32" x14ac:dyDescent="0.25">
      <c r="AE323649" s="34"/>
      <c r="AF323649" s="34"/>
    </row>
    <row r="323657" spans="31:32" x14ac:dyDescent="0.25">
      <c r="AE323657" s="36"/>
      <c r="AF323657" s="36"/>
    </row>
    <row r="323753" spans="31:32" x14ac:dyDescent="0.25">
      <c r="AE323753" s="34"/>
      <c r="AF323753" s="34"/>
    </row>
    <row r="323761" spans="31:32" x14ac:dyDescent="0.25">
      <c r="AE323761" s="36"/>
      <c r="AF323761" s="36"/>
    </row>
    <row r="323857" spans="31:32" x14ac:dyDescent="0.25">
      <c r="AE323857" s="34"/>
      <c r="AF323857" s="34"/>
    </row>
    <row r="323865" spans="31:32" x14ac:dyDescent="0.25">
      <c r="AE323865" s="36"/>
      <c r="AF323865" s="36"/>
    </row>
    <row r="323961" spans="31:32" x14ac:dyDescent="0.25">
      <c r="AE323961" s="34"/>
      <c r="AF323961" s="34"/>
    </row>
    <row r="323969" spans="31:32" x14ac:dyDescent="0.25">
      <c r="AE323969" s="36"/>
      <c r="AF323969" s="36"/>
    </row>
    <row r="324065" spans="31:32" x14ac:dyDescent="0.25">
      <c r="AE324065" s="34"/>
      <c r="AF324065" s="34"/>
    </row>
    <row r="324073" spans="31:32" x14ac:dyDescent="0.25">
      <c r="AE324073" s="36"/>
      <c r="AF324073" s="36"/>
    </row>
    <row r="324169" spans="31:32" x14ac:dyDescent="0.25">
      <c r="AE324169" s="34"/>
      <c r="AF324169" s="34"/>
    </row>
    <row r="324177" spans="31:32" x14ac:dyDescent="0.25">
      <c r="AE324177" s="36"/>
      <c r="AF324177" s="36"/>
    </row>
    <row r="324273" spans="31:32" x14ac:dyDescent="0.25">
      <c r="AE324273" s="34"/>
      <c r="AF324273" s="34"/>
    </row>
    <row r="324281" spans="31:32" x14ac:dyDescent="0.25">
      <c r="AE324281" s="36"/>
      <c r="AF324281" s="36"/>
    </row>
    <row r="324377" spans="31:32" x14ac:dyDescent="0.25">
      <c r="AE324377" s="34"/>
      <c r="AF324377" s="34"/>
    </row>
    <row r="324385" spans="31:32" x14ac:dyDescent="0.25">
      <c r="AE324385" s="36"/>
      <c r="AF324385" s="36"/>
    </row>
    <row r="324481" spans="31:32" x14ac:dyDescent="0.25">
      <c r="AE324481" s="34"/>
      <c r="AF324481" s="34"/>
    </row>
    <row r="324489" spans="31:32" x14ac:dyDescent="0.25">
      <c r="AE324489" s="36"/>
      <c r="AF324489" s="36"/>
    </row>
    <row r="324585" spans="31:32" x14ac:dyDescent="0.25">
      <c r="AE324585" s="34"/>
      <c r="AF324585" s="34"/>
    </row>
    <row r="324593" spans="31:32" x14ac:dyDescent="0.25">
      <c r="AE324593" s="36"/>
      <c r="AF324593" s="36"/>
    </row>
    <row r="324689" spans="31:32" x14ac:dyDescent="0.25">
      <c r="AE324689" s="34"/>
      <c r="AF324689" s="34"/>
    </row>
    <row r="324697" spans="31:32" x14ac:dyDescent="0.25">
      <c r="AE324697" s="36"/>
      <c r="AF324697" s="36"/>
    </row>
    <row r="324793" spans="31:32" x14ac:dyDescent="0.25">
      <c r="AE324793" s="34"/>
      <c r="AF324793" s="34"/>
    </row>
    <row r="324801" spans="31:32" x14ac:dyDescent="0.25">
      <c r="AE324801" s="36"/>
      <c r="AF324801" s="36"/>
    </row>
    <row r="324897" spans="31:32" x14ac:dyDescent="0.25">
      <c r="AE324897" s="34"/>
      <c r="AF324897" s="34"/>
    </row>
    <row r="324905" spans="31:32" x14ac:dyDescent="0.25">
      <c r="AE324905" s="36"/>
      <c r="AF324905" s="36"/>
    </row>
    <row r="325001" spans="31:32" x14ac:dyDescent="0.25">
      <c r="AE325001" s="34"/>
      <c r="AF325001" s="34"/>
    </row>
    <row r="325009" spans="31:32" x14ac:dyDescent="0.25">
      <c r="AE325009" s="36"/>
      <c r="AF325009" s="36"/>
    </row>
    <row r="325105" spans="31:32" x14ac:dyDescent="0.25">
      <c r="AE325105" s="34"/>
      <c r="AF325105" s="34"/>
    </row>
    <row r="325113" spans="31:32" x14ac:dyDescent="0.25">
      <c r="AE325113" s="36"/>
      <c r="AF325113" s="36"/>
    </row>
    <row r="325209" spans="31:32" x14ac:dyDescent="0.25">
      <c r="AE325209" s="34"/>
      <c r="AF325209" s="34"/>
    </row>
    <row r="325217" spans="31:32" x14ac:dyDescent="0.25">
      <c r="AE325217" s="36"/>
      <c r="AF325217" s="36"/>
    </row>
    <row r="325313" spans="31:32" x14ac:dyDescent="0.25">
      <c r="AE325313" s="34"/>
      <c r="AF325313" s="34"/>
    </row>
    <row r="325321" spans="31:32" x14ac:dyDescent="0.25">
      <c r="AE325321" s="36"/>
      <c r="AF325321" s="36"/>
    </row>
    <row r="325417" spans="31:32" x14ac:dyDescent="0.25">
      <c r="AE325417" s="34"/>
      <c r="AF325417" s="34"/>
    </row>
    <row r="325425" spans="31:32" x14ac:dyDescent="0.25">
      <c r="AE325425" s="36"/>
      <c r="AF325425" s="36"/>
    </row>
    <row r="325521" spans="31:32" x14ac:dyDescent="0.25">
      <c r="AE325521" s="34"/>
      <c r="AF325521" s="34"/>
    </row>
    <row r="325529" spans="31:32" x14ac:dyDescent="0.25">
      <c r="AE325529" s="36"/>
      <c r="AF325529" s="36"/>
    </row>
    <row r="325625" spans="31:32" x14ac:dyDescent="0.25">
      <c r="AE325625" s="34"/>
      <c r="AF325625" s="34"/>
    </row>
    <row r="325633" spans="31:32" x14ac:dyDescent="0.25">
      <c r="AE325633" s="36"/>
      <c r="AF325633" s="36"/>
    </row>
    <row r="325729" spans="31:32" x14ac:dyDescent="0.25">
      <c r="AE325729" s="34"/>
      <c r="AF325729" s="34"/>
    </row>
    <row r="325737" spans="31:32" x14ac:dyDescent="0.25">
      <c r="AE325737" s="36"/>
      <c r="AF325737" s="36"/>
    </row>
    <row r="325833" spans="31:32" x14ac:dyDescent="0.25">
      <c r="AE325833" s="34"/>
      <c r="AF325833" s="34"/>
    </row>
    <row r="325841" spans="31:32" x14ac:dyDescent="0.25">
      <c r="AE325841" s="36"/>
      <c r="AF325841" s="36"/>
    </row>
    <row r="325937" spans="31:32" x14ac:dyDescent="0.25">
      <c r="AE325937" s="34"/>
      <c r="AF325937" s="34"/>
    </row>
    <row r="325945" spans="31:32" x14ac:dyDescent="0.25">
      <c r="AE325945" s="36"/>
      <c r="AF325945" s="36"/>
    </row>
    <row r="326041" spans="31:32" x14ac:dyDescent="0.25">
      <c r="AE326041" s="34"/>
      <c r="AF326041" s="34"/>
    </row>
    <row r="326049" spans="31:32" x14ac:dyDescent="0.25">
      <c r="AE326049" s="36"/>
      <c r="AF326049" s="36"/>
    </row>
    <row r="326145" spans="31:32" x14ac:dyDescent="0.25">
      <c r="AE326145" s="34"/>
      <c r="AF326145" s="34"/>
    </row>
    <row r="326153" spans="31:32" x14ac:dyDescent="0.25">
      <c r="AE326153" s="36"/>
      <c r="AF326153" s="36"/>
    </row>
    <row r="326249" spans="31:32" x14ac:dyDescent="0.25">
      <c r="AE326249" s="34"/>
      <c r="AF326249" s="34"/>
    </row>
    <row r="326257" spans="31:32" x14ac:dyDescent="0.25">
      <c r="AE326257" s="36"/>
      <c r="AF326257" s="36"/>
    </row>
    <row r="326353" spans="31:32" x14ac:dyDescent="0.25">
      <c r="AE326353" s="34"/>
      <c r="AF326353" s="34"/>
    </row>
    <row r="326361" spans="31:32" x14ac:dyDescent="0.25">
      <c r="AE326361" s="36"/>
      <c r="AF326361" s="36"/>
    </row>
    <row r="326457" spans="31:32" x14ac:dyDescent="0.25">
      <c r="AE326457" s="34"/>
      <c r="AF326457" s="34"/>
    </row>
    <row r="326465" spans="31:32" x14ac:dyDescent="0.25">
      <c r="AE326465" s="36"/>
      <c r="AF326465" s="36"/>
    </row>
    <row r="326561" spans="31:32" x14ac:dyDescent="0.25">
      <c r="AE326561" s="34"/>
      <c r="AF326561" s="34"/>
    </row>
    <row r="326569" spans="31:32" x14ac:dyDescent="0.25">
      <c r="AE326569" s="36"/>
      <c r="AF326569" s="36"/>
    </row>
    <row r="326665" spans="31:32" x14ac:dyDescent="0.25">
      <c r="AE326665" s="34"/>
      <c r="AF326665" s="34"/>
    </row>
    <row r="326673" spans="31:32" x14ac:dyDescent="0.25">
      <c r="AE326673" s="36"/>
      <c r="AF326673" s="36"/>
    </row>
    <row r="326769" spans="31:32" x14ac:dyDescent="0.25">
      <c r="AE326769" s="34"/>
      <c r="AF326769" s="34"/>
    </row>
    <row r="326777" spans="31:32" x14ac:dyDescent="0.25">
      <c r="AE326777" s="36"/>
      <c r="AF326777" s="36"/>
    </row>
    <row r="326873" spans="31:32" x14ac:dyDescent="0.25">
      <c r="AE326873" s="34"/>
      <c r="AF326873" s="34"/>
    </row>
    <row r="326881" spans="31:32" x14ac:dyDescent="0.25">
      <c r="AE326881" s="36"/>
      <c r="AF326881" s="36"/>
    </row>
    <row r="326977" spans="31:32" x14ac:dyDescent="0.25">
      <c r="AE326977" s="34"/>
      <c r="AF326977" s="34"/>
    </row>
    <row r="326985" spans="31:32" x14ac:dyDescent="0.25">
      <c r="AE326985" s="36"/>
      <c r="AF326985" s="36"/>
    </row>
    <row r="327081" spans="31:32" x14ac:dyDescent="0.25">
      <c r="AE327081" s="34"/>
      <c r="AF327081" s="34"/>
    </row>
    <row r="327089" spans="31:32" x14ac:dyDescent="0.25">
      <c r="AE327089" s="36"/>
      <c r="AF327089" s="36"/>
    </row>
    <row r="327185" spans="31:32" x14ac:dyDescent="0.25">
      <c r="AE327185" s="34"/>
      <c r="AF327185" s="34"/>
    </row>
    <row r="327193" spans="31:32" x14ac:dyDescent="0.25">
      <c r="AE327193" s="36"/>
      <c r="AF327193" s="36"/>
    </row>
    <row r="327289" spans="31:32" x14ac:dyDescent="0.25">
      <c r="AE327289" s="34"/>
      <c r="AF327289" s="34"/>
    </row>
    <row r="327297" spans="31:32" x14ac:dyDescent="0.25">
      <c r="AE327297" s="36"/>
      <c r="AF327297" s="36"/>
    </row>
    <row r="327393" spans="31:32" x14ac:dyDescent="0.25">
      <c r="AE327393" s="34"/>
      <c r="AF327393" s="34"/>
    </row>
    <row r="327401" spans="31:32" x14ac:dyDescent="0.25">
      <c r="AE327401" s="36"/>
      <c r="AF327401" s="36"/>
    </row>
    <row r="327497" spans="31:32" x14ac:dyDescent="0.25">
      <c r="AE327497" s="34"/>
      <c r="AF327497" s="34"/>
    </row>
    <row r="327505" spans="31:32" x14ac:dyDescent="0.25">
      <c r="AE327505" s="36"/>
      <c r="AF327505" s="36"/>
    </row>
    <row r="327601" spans="31:32" x14ac:dyDescent="0.25">
      <c r="AE327601" s="34"/>
      <c r="AF327601" s="34"/>
    </row>
    <row r="327609" spans="31:32" x14ac:dyDescent="0.25">
      <c r="AE327609" s="36"/>
      <c r="AF327609" s="36"/>
    </row>
    <row r="327705" spans="31:32" x14ac:dyDescent="0.25">
      <c r="AE327705" s="34"/>
      <c r="AF327705" s="34"/>
    </row>
    <row r="327713" spans="31:32" x14ac:dyDescent="0.25">
      <c r="AE327713" s="36"/>
      <c r="AF327713" s="36"/>
    </row>
    <row r="327809" spans="31:32" x14ac:dyDescent="0.25">
      <c r="AE327809" s="34"/>
      <c r="AF327809" s="34"/>
    </row>
    <row r="327817" spans="31:32" x14ac:dyDescent="0.25">
      <c r="AE327817" s="36"/>
      <c r="AF327817" s="36"/>
    </row>
    <row r="327913" spans="31:32" x14ac:dyDescent="0.25">
      <c r="AE327913" s="34"/>
      <c r="AF327913" s="34"/>
    </row>
    <row r="327921" spans="31:32" x14ac:dyDescent="0.25">
      <c r="AE327921" s="36"/>
      <c r="AF327921" s="36"/>
    </row>
    <row r="328017" spans="31:32" x14ac:dyDescent="0.25">
      <c r="AE328017" s="34"/>
      <c r="AF328017" s="34"/>
    </row>
    <row r="328025" spans="31:32" x14ac:dyDescent="0.25">
      <c r="AE328025" s="36"/>
      <c r="AF328025" s="36"/>
    </row>
    <row r="328121" spans="31:32" x14ac:dyDescent="0.25">
      <c r="AE328121" s="34"/>
      <c r="AF328121" s="34"/>
    </row>
    <row r="328129" spans="31:32" x14ac:dyDescent="0.25">
      <c r="AE328129" s="36"/>
      <c r="AF328129" s="36"/>
    </row>
    <row r="328225" spans="31:32" x14ac:dyDescent="0.25">
      <c r="AE328225" s="34"/>
      <c r="AF328225" s="34"/>
    </row>
    <row r="328233" spans="31:32" x14ac:dyDescent="0.25">
      <c r="AE328233" s="36"/>
      <c r="AF328233" s="36"/>
    </row>
    <row r="328329" spans="31:32" x14ac:dyDescent="0.25">
      <c r="AE328329" s="34"/>
      <c r="AF328329" s="34"/>
    </row>
    <row r="328337" spans="31:32" x14ac:dyDescent="0.25">
      <c r="AE328337" s="36"/>
      <c r="AF328337" s="36"/>
    </row>
    <row r="328433" spans="31:32" x14ac:dyDescent="0.25">
      <c r="AE328433" s="34"/>
      <c r="AF328433" s="34"/>
    </row>
    <row r="328441" spans="31:32" x14ac:dyDescent="0.25">
      <c r="AE328441" s="36"/>
      <c r="AF328441" s="36"/>
    </row>
    <row r="328537" spans="31:32" x14ac:dyDescent="0.25">
      <c r="AE328537" s="34"/>
      <c r="AF328537" s="34"/>
    </row>
    <row r="328545" spans="31:32" x14ac:dyDescent="0.25">
      <c r="AE328545" s="36"/>
      <c r="AF328545" s="36"/>
    </row>
    <row r="328641" spans="31:32" x14ac:dyDescent="0.25">
      <c r="AE328641" s="34"/>
      <c r="AF328641" s="34"/>
    </row>
    <row r="328649" spans="31:32" x14ac:dyDescent="0.25">
      <c r="AE328649" s="36"/>
      <c r="AF328649" s="36"/>
    </row>
    <row r="328745" spans="31:32" x14ac:dyDescent="0.25">
      <c r="AE328745" s="34"/>
      <c r="AF328745" s="34"/>
    </row>
    <row r="328753" spans="31:32" x14ac:dyDescent="0.25">
      <c r="AE328753" s="36"/>
      <c r="AF328753" s="36"/>
    </row>
    <row r="328849" spans="31:32" x14ac:dyDescent="0.25">
      <c r="AE328849" s="34"/>
      <c r="AF328849" s="34"/>
    </row>
    <row r="328857" spans="31:32" x14ac:dyDescent="0.25">
      <c r="AE328857" s="36"/>
      <c r="AF328857" s="36"/>
    </row>
    <row r="328953" spans="31:32" x14ac:dyDescent="0.25">
      <c r="AE328953" s="34"/>
      <c r="AF328953" s="34"/>
    </row>
    <row r="328961" spans="31:32" x14ac:dyDescent="0.25">
      <c r="AE328961" s="36"/>
      <c r="AF328961" s="36"/>
    </row>
    <row r="329057" spans="31:32" x14ac:dyDescent="0.25">
      <c r="AE329057" s="34"/>
      <c r="AF329057" s="34"/>
    </row>
    <row r="329065" spans="31:32" x14ac:dyDescent="0.25">
      <c r="AE329065" s="36"/>
      <c r="AF329065" s="36"/>
    </row>
    <row r="329161" spans="31:32" x14ac:dyDescent="0.25">
      <c r="AE329161" s="34"/>
      <c r="AF329161" s="34"/>
    </row>
    <row r="329169" spans="31:32" x14ac:dyDescent="0.25">
      <c r="AE329169" s="36"/>
      <c r="AF329169" s="36"/>
    </row>
    <row r="329265" spans="31:32" x14ac:dyDescent="0.25">
      <c r="AE329265" s="34"/>
      <c r="AF329265" s="34"/>
    </row>
    <row r="329273" spans="31:32" x14ac:dyDescent="0.25">
      <c r="AE329273" s="36"/>
      <c r="AF329273" s="36"/>
    </row>
    <row r="329369" spans="31:32" x14ac:dyDescent="0.25">
      <c r="AE329369" s="34"/>
      <c r="AF329369" s="34"/>
    </row>
    <row r="329377" spans="31:32" x14ac:dyDescent="0.25">
      <c r="AE329377" s="36"/>
      <c r="AF329377" s="36"/>
    </row>
    <row r="329473" spans="31:32" x14ac:dyDescent="0.25">
      <c r="AE329473" s="34"/>
      <c r="AF329473" s="34"/>
    </row>
    <row r="329481" spans="31:32" x14ac:dyDescent="0.25">
      <c r="AE329481" s="36"/>
      <c r="AF329481" s="36"/>
    </row>
    <row r="329577" spans="31:32" x14ac:dyDescent="0.25">
      <c r="AE329577" s="34"/>
      <c r="AF329577" s="34"/>
    </row>
    <row r="329585" spans="31:32" x14ac:dyDescent="0.25">
      <c r="AE329585" s="36"/>
      <c r="AF329585" s="36"/>
    </row>
    <row r="329681" spans="31:32" x14ac:dyDescent="0.25">
      <c r="AE329681" s="34"/>
      <c r="AF329681" s="34"/>
    </row>
    <row r="329689" spans="31:32" x14ac:dyDescent="0.25">
      <c r="AE329689" s="36"/>
      <c r="AF329689" s="36"/>
    </row>
    <row r="329785" spans="31:32" x14ac:dyDescent="0.25">
      <c r="AE329785" s="34"/>
      <c r="AF329785" s="34"/>
    </row>
    <row r="329793" spans="31:32" x14ac:dyDescent="0.25">
      <c r="AE329793" s="36"/>
      <c r="AF329793" s="36"/>
    </row>
    <row r="329889" spans="31:32" x14ac:dyDescent="0.25">
      <c r="AE329889" s="34"/>
      <c r="AF329889" s="34"/>
    </row>
    <row r="329897" spans="31:32" x14ac:dyDescent="0.25">
      <c r="AE329897" s="36"/>
      <c r="AF329897" s="36"/>
    </row>
    <row r="329993" spans="31:32" x14ac:dyDescent="0.25">
      <c r="AE329993" s="34"/>
      <c r="AF329993" s="34"/>
    </row>
    <row r="330001" spans="31:32" x14ac:dyDescent="0.25">
      <c r="AE330001" s="36"/>
      <c r="AF330001" s="36"/>
    </row>
    <row r="330097" spans="31:32" x14ac:dyDescent="0.25">
      <c r="AE330097" s="34"/>
      <c r="AF330097" s="34"/>
    </row>
    <row r="330105" spans="31:32" x14ac:dyDescent="0.25">
      <c r="AE330105" s="36"/>
      <c r="AF330105" s="36"/>
    </row>
    <row r="330201" spans="31:32" x14ac:dyDescent="0.25">
      <c r="AE330201" s="34"/>
      <c r="AF330201" s="34"/>
    </row>
    <row r="330209" spans="31:32" x14ac:dyDescent="0.25">
      <c r="AE330209" s="36"/>
      <c r="AF330209" s="36"/>
    </row>
    <row r="330305" spans="31:32" x14ac:dyDescent="0.25">
      <c r="AE330305" s="34"/>
      <c r="AF330305" s="34"/>
    </row>
    <row r="330313" spans="31:32" x14ac:dyDescent="0.25">
      <c r="AE330313" s="36"/>
      <c r="AF330313" s="36"/>
    </row>
    <row r="330409" spans="31:32" x14ac:dyDescent="0.25">
      <c r="AE330409" s="34"/>
      <c r="AF330409" s="34"/>
    </row>
    <row r="330417" spans="31:32" x14ac:dyDescent="0.25">
      <c r="AE330417" s="36"/>
      <c r="AF330417" s="36"/>
    </row>
    <row r="330513" spans="31:32" x14ac:dyDescent="0.25">
      <c r="AE330513" s="34"/>
      <c r="AF330513" s="34"/>
    </row>
    <row r="330521" spans="31:32" x14ac:dyDescent="0.25">
      <c r="AE330521" s="36"/>
      <c r="AF330521" s="36"/>
    </row>
    <row r="330617" spans="31:32" x14ac:dyDescent="0.25">
      <c r="AE330617" s="34"/>
      <c r="AF330617" s="34"/>
    </row>
    <row r="330625" spans="31:32" x14ac:dyDescent="0.25">
      <c r="AE330625" s="36"/>
      <c r="AF330625" s="36"/>
    </row>
    <row r="330721" spans="31:32" x14ac:dyDescent="0.25">
      <c r="AE330721" s="34"/>
      <c r="AF330721" s="34"/>
    </row>
    <row r="330729" spans="31:32" x14ac:dyDescent="0.25">
      <c r="AE330729" s="36"/>
      <c r="AF330729" s="36"/>
    </row>
    <row r="330825" spans="31:32" x14ac:dyDescent="0.25">
      <c r="AE330825" s="34"/>
      <c r="AF330825" s="34"/>
    </row>
    <row r="330833" spans="31:32" x14ac:dyDescent="0.25">
      <c r="AE330833" s="36"/>
      <c r="AF330833" s="36"/>
    </row>
    <row r="330929" spans="31:32" x14ac:dyDescent="0.25">
      <c r="AE330929" s="34"/>
      <c r="AF330929" s="34"/>
    </row>
    <row r="330937" spans="31:32" x14ac:dyDescent="0.25">
      <c r="AE330937" s="36"/>
      <c r="AF330937" s="36"/>
    </row>
    <row r="331033" spans="31:32" x14ac:dyDescent="0.25">
      <c r="AE331033" s="34"/>
      <c r="AF331033" s="34"/>
    </row>
    <row r="331041" spans="31:32" x14ac:dyDescent="0.25">
      <c r="AE331041" s="36"/>
      <c r="AF331041" s="36"/>
    </row>
    <row r="331137" spans="31:32" x14ac:dyDescent="0.25">
      <c r="AE331137" s="34"/>
      <c r="AF331137" s="34"/>
    </row>
    <row r="331145" spans="31:32" x14ac:dyDescent="0.25">
      <c r="AE331145" s="36"/>
      <c r="AF331145" s="36"/>
    </row>
    <row r="331241" spans="31:32" x14ac:dyDescent="0.25">
      <c r="AE331241" s="34"/>
      <c r="AF331241" s="34"/>
    </row>
    <row r="331249" spans="31:32" x14ac:dyDescent="0.25">
      <c r="AE331249" s="36"/>
      <c r="AF331249" s="36"/>
    </row>
    <row r="331345" spans="31:32" x14ac:dyDescent="0.25">
      <c r="AE331345" s="34"/>
      <c r="AF331345" s="34"/>
    </row>
    <row r="331353" spans="31:32" x14ac:dyDescent="0.25">
      <c r="AE331353" s="36"/>
      <c r="AF331353" s="36"/>
    </row>
    <row r="331449" spans="31:32" x14ac:dyDescent="0.25">
      <c r="AE331449" s="34"/>
      <c r="AF331449" s="34"/>
    </row>
    <row r="331457" spans="31:32" x14ac:dyDescent="0.25">
      <c r="AE331457" s="36"/>
      <c r="AF331457" s="36"/>
    </row>
    <row r="331553" spans="31:32" x14ac:dyDescent="0.25">
      <c r="AE331553" s="34"/>
      <c r="AF331553" s="34"/>
    </row>
    <row r="331561" spans="31:32" x14ac:dyDescent="0.25">
      <c r="AE331561" s="36"/>
      <c r="AF331561" s="36"/>
    </row>
    <row r="331657" spans="31:32" x14ac:dyDescent="0.25">
      <c r="AE331657" s="34"/>
      <c r="AF331657" s="34"/>
    </row>
    <row r="331665" spans="31:32" x14ac:dyDescent="0.25">
      <c r="AE331665" s="36"/>
      <c r="AF331665" s="36"/>
    </row>
    <row r="331761" spans="31:32" x14ac:dyDescent="0.25">
      <c r="AE331761" s="34"/>
      <c r="AF331761" s="34"/>
    </row>
    <row r="331769" spans="31:32" x14ac:dyDescent="0.25">
      <c r="AE331769" s="36"/>
      <c r="AF331769" s="36"/>
    </row>
    <row r="331865" spans="31:32" x14ac:dyDescent="0.25">
      <c r="AE331865" s="34"/>
      <c r="AF331865" s="34"/>
    </row>
    <row r="331873" spans="31:32" x14ac:dyDescent="0.25">
      <c r="AE331873" s="36"/>
      <c r="AF331873" s="36"/>
    </row>
    <row r="331969" spans="31:32" x14ac:dyDescent="0.25">
      <c r="AE331969" s="34"/>
      <c r="AF331969" s="34"/>
    </row>
    <row r="331977" spans="31:32" x14ac:dyDescent="0.25">
      <c r="AE331977" s="36"/>
      <c r="AF331977" s="36"/>
    </row>
    <row r="332073" spans="31:32" x14ac:dyDescent="0.25">
      <c r="AE332073" s="34"/>
      <c r="AF332073" s="34"/>
    </row>
    <row r="332081" spans="31:32" x14ac:dyDescent="0.25">
      <c r="AE332081" s="36"/>
      <c r="AF332081" s="36"/>
    </row>
    <row r="332177" spans="31:32" x14ac:dyDescent="0.25">
      <c r="AE332177" s="34"/>
      <c r="AF332177" s="34"/>
    </row>
    <row r="332185" spans="31:32" x14ac:dyDescent="0.25">
      <c r="AE332185" s="36"/>
      <c r="AF332185" s="36"/>
    </row>
    <row r="332281" spans="31:32" x14ac:dyDescent="0.25">
      <c r="AE332281" s="34"/>
      <c r="AF332281" s="34"/>
    </row>
    <row r="332289" spans="31:32" x14ac:dyDescent="0.25">
      <c r="AE332289" s="36"/>
      <c r="AF332289" s="36"/>
    </row>
    <row r="332385" spans="31:32" x14ac:dyDescent="0.25">
      <c r="AE332385" s="34"/>
      <c r="AF332385" s="34"/>
    </row>
    <row r="332393" spans="31:32" x14ac:dyDescent="0.25">
      <c r="AE332393" s="36"/>
      <c r="AF332393" s="36"/>
    </row>
    <row r="332489" spans="31:32" x14ac:dyDescent="0.25">
      <c r="AE332489" s="34"/>
      <c r="AF332489" s="34"/>
    </row>
    <row r="332497" spans="31:32" x14ac:dyDescent="0.25">
      <c r="AE332497" s="36"/>
      <c r="AF332497" s="36"/>
    </row>
    <row r="332593" spans="31:32" x14ac:dyDescent="0.25">
      <c r="AE332593" s="34"/>
      <c r="AF332593" s="34"/>
    </row>
    <row r="332601" spans="31:32" x14ac:dyDescent="0.25">
      <c r="AE332601" s="36"/>
      <c r="AF332601" s="36"/>
    </row>
    <row r="332697" spans="31:32" x14ac:dyDescent="0.25">
      <c r="AE332697" s="34"/>
      <c r="AF332697" s="34"/>
    </row>
    <row r="332705" spans="31:32" x14ac:dyDescent="0.25">
      <c r="AE332705" s="36"/>
      <c r="AF332705" s="36"/>
    </row>
    <row r="332801" spans="31:32" x14ac:dyDescent="0.25">
      <c r="AE332801" s="34"/>
      <c r="AF332801" s="34"/>
    </row>
    <row r="332809" spans="31:32" x14ac:dyDescent="0.25">
      <c r="AE332809" s="36"/>
      <c r="AF332809" s="36"/>
    </row>
    <row r="332905" spans="31:32" x14ac:dyDescent="0.25">
      <c r="AE332905" s="34"/>
      <c r="AF332905" s="34"/>
    </row>
    <row r="332913" spans="31:32" x14ac:dyDescent="0.25">
      <c r="AE332913" s="36"/>
      <c r="AF332913" s="36"/>
    </row>
    <row r="333009" spans="31:32" x14ac:dyDescent="0.25">
      <c r="AE333009" s="34"/>
      <c r="AF333009" s="34"/>
    </row>
    <row r="333017" spans="31:32" x14ac:dyDescent="0.25">
      <c r="AE333017" s="36"/>
      <c r="AF333017" s="36"/>
    </row>
    <row r="333113" spans="31:32" x14ac:dyDescent="0.25">
      <c r="AE333113" s="34"/>
      <c r="AF333113" s="34"/>
    </row>
    <row r="333121" spans="31:32" x14ac:dyDescent="0.25">
      <c r="AE333121" s="36"/>
      <c r="AF333121" s="36"/>
    </row>
    <row r="333217" spans="31:32" x14ac:dyDescent="0.25">
      <c r="AE333217" s="34"/>
      <c r="AF333217" s="34"/>
    </row>
    <row r="333225" spans="31:32" x14ac:dyDescent="0.25">
      <c r="AE333225" s="36"/>
      <c r="AF333225" s="36"/>
    </row>
    <row r="333321" spans="31:32" x14ac:dyDescent="0.25">
      <c r="AE333321" s="34"/>
      <c r="AF333321" s="34"/>
    </row>
    <row r="333329" spans="31:32" x14ac:dyDescent="0.25">
      <c r="AE333329" s="36"/>
      <c r="AF333329" s="36"/>
    </row>
    <row r="333425" spans="31:32" x14ac:dyDescent="0.25">
      <c r="AE333425" s="34"/>
      <c r="AF333425" s="34"/>
    </row>
    <row r="333433" spans="31:32" x14ac:dyDescent="0.25">
      <c r="AE333433" s="36"/>
      <c r="AF333433" s="36"/>
    </row>
    <row r="333529" spans="31:32" x14ac:dyDescent="0.25">
      <c r="AE333529" s="34"/>
      <c r="AF333529" s="34"/>
    </row>
    <row r="333537" spans="31:32" x14ac:dyDescent="0.25">
      <c r="AE333537" s="36"/>
      <c r="AF333537" s="36"/>
    </row>
    <row r="333633" spans="31:32" x14ac:dyDescent="0.25">
      <c r="AE333633" s="34"/>
      <c r="AF333633" s="34"/>
    </row>
    <row r="333641" spans="31:32" x14ac:dyDescent="0.25">
      <c r="AE333641" s="36"/>
      <c r="AF333641" s="36"/>
    </row>
    <row r="333737" spans="31:32" x14ac:dyDescent="0.25">
      <c r="AE333737" s="34"/>
      <c r="AF333737" s="34"/>
    </row>
    <row r="333745" spans="31:32" x14ac:dyDescent="0.25">
      <c r="AE333745" s="36"/>
      <c r="AF333745" s="36"/>
    </row>
    <row r="333841" spans="31:32" x14ac:dyDescent="0.25">
      <c r="AE333841" s="34"/>
      <c r="AF333841" s="34"/>
    </row>
    <row r="333849" spans="31:32" x14ac:dyDescent="0.25">
      <c r="AE333849" s="36"/>
      <c r="AF333849" s="36"/>
    </row>
    <row r="333945" spans="31:32" x14ac:dyDescent="0.25">
      <c r="AE333945" s="34"/>
      <c r="AF333945" s="34"/>
    </row>
    <row r="333953" spans="31:32" x14ac:dyDescent="0.25">
      <c r="AE333953" s="36"/>
      <c r="AF333953" s="36"/>
    </row>
    <row r="334049" spans="31:32" x14ac:dyDescent="0.25">
      <c r="AE334049" s="34"/>
      <c r="AF334049" s="34"/>
    </row>
    <row r="334057" spans="31:32" x14ac:dyDescent="0.25">
      <c r="AE334057" s="36"/>
      <c r="AF334057" s="36"/>
    </row>
    <row r="334153" spans="31:32" x14ac:dyDescent="0.25">
      <c r="AE334153" s="34"/>
      <c r="AF334153" s="34"/>
    </row>
    <row r="334161" spans="31:32" x14ac:dyDescent="0.25">
      <c r="AE334161" s="36"/>
      <c r="AF334161" s="36"/>
    </row>
    <row r="334257" spans="31:32" x14ac:dyDescent="0.25">
      <c r="AE334257" s="34"/>
      <c r="AF334257" s="34"/>
    </row>
    <row r="334265" spans="31:32" x14ac:dyDescent="0.25">
      <c r="AE334265" s="36"/>
      <c r="AF334265" s="36"/>
    </row>
    <row r="334361" spans="31:32" x14ac:dyDescent="0.25">
      <c r="AE334361" s="34"/>
      <c r="AF334361" s="34"/>
    </row>
    <row r="334369" spans="31:32" x14ac:dyDescent="0.25">
      <c r="AE334369" s="36"/>
      <c r="AF334369" s="36"/>
    </row>
    <row r="334465" spans="31:32" x14ac:dyDescent="0.25">
      <c r="AE334465" s="34"/>
      <c r="AF334465" s="34"/>
    </row>
    <row r="334473" spans="31:32" x14ac:dyDescent="0.25">
      <c r="AE334473" s="36"/>
      <c r="AF334473" s="36"/>
    </row>
    <row r="334569" spans="31:32" x14ac:dyDescent="0.25">
      <c r="AE334569" s="34"/>
      <c r="AF334569" s="34"/>
    </row>
    <row r="334577" spans="31:32" x14ac:dyDescent="0.25">
      <c r="AE334577" s="36"/>
      <c r="AF334577" s="36"/>
    </row>
    <row r="334673" spans="31:32" x14ac:dyDescent="0.25">
      <c r="AE334673" s="34"/>
      <c r="AF334673" s="34"/>
    </row>
    <row r="334681" spans="31:32" x14ac:dyDescent="0.25">
      <c r="AE334681" s="36"/>
      <c r="AF334681" s="36"/>
    </row>
    <row r="334777" spans="31:32" x14ac:dyDescent="0.25">
      <c r="AE334777" s="34"/>
      <c r="AF334777" s="34"/>
    </row>
    <row r="334785" spans="31:32" x14ac:dyDescent="0.25">
      <c r="AE334785" s="36"/>
      <c r="AF334785" s="36"/>
    </row>
    <row r="334881" spans="31:32" x14ac:dyDescent="0.25">
      <c r="AE334881" s="34"/>
      <c r="AF334881" s="34"/>
    </row>
    <row r="334889" spans="31:32" x14ac:dyDescent="0.25">
      <c r="AE334889" s="36"/>
      <c r="AF334889" s="36"/>
    </row>
    <row r="334985" spans="31:32" x14ac:dyDescent="0.25">
      <c r="AE334985" s="34"/>
      <c r="AF334985" s="34"/>
    </row>
    <row r="334993" spans="31:32" x14ac:dyDescent="0.25">
      <c r="AE334993" s="36"/>
      <c r="AF334993" s="36"/>
    </row>
    <row r="335089" spans="31:32" x14ac:dyDescent="0.25">
      <c r="AE335089" s="34"/>
      <c r="AF335089" s="34"/>
    </row>
    <row r="335097" spans="31:32" x14ac:dyDescent="0.25">
      <c r="AE335097" s="36"/>
      <c r="AF335097" s="36"/>
    </row>
    <row r="335193" spans="31:32" x14ac:dyDescent="0.25">
      <c r="AE335193" s="34"/>
      <c r="AF335193" s="34"/>
    </row>
    <row r="335201" spans="31:32" x14ac:dyDescent="0.25">
      <c r="AE335201" s="36"/>
      <c r="AF335201" s="36"/>
    </row>
    <row r="335297" spans="31:32" x14ac:dyDescent="0.25">
      <c r="AE335297" s="34"/>
      <c r="AF335297" s="34"/>
    </row>
    <row r="335305" spans="31:32" x14ac:dyDescent="0.25">
      <c r="AE335305" s="36"/>
      <c r="AF335305" s="36"/>
    </row>
    <row r="335401" spans="31:32" x14ac:dyDescent="0.25">
      <c r="AE335401" s="34"/>
      <c r="AF335401" s="34"/>
    </row>
    <row r="335409" spans="31:32" x14ac:dyDescent="0.25">
      <c r="AE335409" s="36"/>
      <c r="AF335409" s="36"/>
    </row>
    <row r="335505" spans="31:32" x14ac:dyDescent="0.25">
      <c r="AE335505" s="34"/>
      <c r="AF335505" s="34"/>
    </row>
    <row r="335513" spans="31:32" x14ac:dyDescent="0.25">
      <c r="AE335513" s="36"/>
      <c r="AF335513" s="36"/>
    </row>
    <row r="335609" spans="31:32" x14ac:dyDescent="0.25">
      <c r="AE335609" s="34"/>
      <c r="AF335609" s="34"/>
    </row>
    <row r="335617" spans="31:32" x14ac:dyDescent="0.25">
      <c r="AE335617" s="36"/>
      <c r="AF335617" s="36"/>
    </row>
    <row r="335713" spans="31:32" x14ac:dyDescent="0.25">
      <c r="AE335713" s="34"/>
      <c r="AF335713" s="34"/>
    </row>
    <row r="335721" spans="31:32" x14ac:dyDescent="0.25">
      <c r="AE335721" s="36"/>
      <c r="AF335721" s="36"/>
    </row>
    <row r="335817" spans="31:32" x14ac:dyDescent="0.25">
      <c r="AE335817" s="34"/>
      <c r="AF335817" s="34"/>
    </row>
    <row r="335825" spans="31:32" x14ac:dyDescent="0.25">
      <c r="AE335825" s="36"/>
      <c r="AF335825" s="36"/>
    </row>
    <row r="335921" spans="31:32" x14ac:dyDescent="0.25">
      <c r="AE335921" s="34"/>
      <c r="AF335921" s="34"/>
    </row>
    <row r="335929" spans="31:32" x14ac:dyDescent="0.25">
      <c r="AE335929" s="36"/>
      <c r="AF335929" s="36"/>
    </row>
    <row r="336025" spans="31:32" x14ac:dyDescent="0.25">
      <c r="AE336025" s="34"/>
      <c r="AF336025" s="34"/>
    </row>
    <row r="336033" spans="31:32" x14ac:dyDescent="0.25">
      <c r="AE336033" s="36"/>
      <c r="AF336033" s="36"/>
    </row>
    <row r="336129" spans="31:32" x14ac:dyDescent="0.25">
      <c r="AE336129" s="34"/>
      <c r="AF336129" s="34"/>
    </row>
    <row r="336137" spans="31:32" x14ac:dyDescent="0.25">
      <c r="AE336137" s="36"/>
      <c r="AF336137" s="36"/>
    </row>
    <row r="336233" spans="31:32" x14ac:dyDescent="0.25">
      <c r="AE336233" s="34"/>
      <c r="AF336233" s="34"/>
    </row>
    <row r="336241" spans="31:32" x14ac:dyDescent="0.25">
      <c r="AE336241" s="36"/>
      <c r="AF336241" s="36"/>
    </row>
    <row r="336337" spans="31:32" x14ac:dyDescent="0.25">
      <c r="AE336337" s="34"/>
      <c r="AF336337" s="34"/>
    </row>
    <row r="336345" spans="31:32" x14ac:dyDescent="0.25">
      <c r="AE336345" s="36"/>
      <c r="AF336345" s="36"/>
    </row>
    <row r="336441" spans="31:32" x14ac:dyDescent="0.25">
      <c r="AE336441" s="34"/>
      <c r="AF336441" s="34"/>
    </row>
    <row r="336449" spans="31:32" x14ac:dyDescent="0.25">
      <c r="AE336449" s="36"/>
      <c r="AF336449" s="36"/>
    </row>
    <row r="336545" spans="31:32" x14ac:dyDescent="0.25">
      <c r="AE336545" s="34"/>
      <c r="AF336545" s="34"/>
    </row>
    <row r="336553" spans="31:32" x14ac:dyDescent="0.25">
      <c r="AE336553" s="36"/>
      <c r="AF336553" s="36"/>
    </row>
    <row r="336649" spans="31:32" x14ac:dyDescent="0.25">
      <c r="AE336649" s="34"/>
      <c r="AF336649" s="34"/>
    </row>
    <row r="336657" spans="31:32" x14ac:dyDescent="0.25">
      <c r="AE336657" s="36"/>
      <c r="AF336657" s="36"/>
    </row>
    <row r="336753" spans="31:32" x14ac:dyDescent="0.25">
      <c r="AE336753" s="34"/>
      <c r="AF336753" s="34"/>
    </row>
    <row r="336761" spans="31:32" x14ac:dyDescent="0.25">
      <c r="AE336761" s="36"/>
      <c r="AF336761" s="36"/>
    </row>
    <row r="336857" spans="31:32" x14ac:dyDescent="0.25">
      <c r="AE336857" s="34"/>
      <c r="AF336857" s="34"/>
    </row>
    <row r="336865" spans="31:32" x14ac:dyDescent="0.25">
      <c r="AE336865" s="36"/>
      <c r="AF336865" s="36"/>
    </row>
    <row r="336961" spans="31:32" x14ac:dyDescent="0.25">
      <c r="AE336961" s="34"/>
      <c r="AF336961" s="34"/>
    </row>
    <row r="336969" spans="31:32" x14ac:dyDescent="0.25">
      <c r="AE336969" s="36"/>
      <c r="AF336969" s="36"/>
    </row>
    <row r="337065" spans="31:32" x14ac:dyDescent="0.25">
      <c r="AE337065" s="34"/>
      <c r="AF337065" s="34"/>
    </row>
    <row r="337073" spans="31:32" x14ac:dyDescent="0.25">
      <c r="AE337073" s="36"/>
      <c r="AF337073" s="36"/>
    </row>
    <row r="337169" spans="31:32" x14ac:dyDescent="0.25">
      <c r="AE337169" s="34"/>
      <c r="AF337169" s="34"/>
    </row>
    <row r="337177" spans="31:32" x14ac:dyDescent="0.25">
      <c r="AE337177" s="36"/>
      <c r="AF337177" s="36"/>
    </row>
    <row r="337273" spans="31:32" x14ac:dyDescent="0.25">
      <c r="AE337273" s="34"/>
      <c r="AF337273" s="34"/>
    </row>
    <row r="337281" spans="31:32" x14ac:dyDescent="0.25">
      <c r="AE337281" s="36"/>
      <c r="AF337281" s="36"/>
    </row>
    <row r="337377" spans="31:32" x14ac:dyDescent="0.25">
      <c r="AE337377" s="34"/>
      <c r="AF337377" s="34"/>
    </row>
    <row r="337385" spans="31:32" x14ac:dyDescent="0.25">
      <c r="AE337385" s="36"/>
      <c r="AF337385" s="36"/>
    </row>
    <row r="337481" spans="31:32" x14ac:dyDescent="0.25">
      <c r="AE337481" s="34"/>
      <c r="AF337481" s="34"/>
    </row>
    <row r="337489" spans="31:32" x14ac:dyDescent="0.25">
      <c r="AE337489" s="36"/>
      <c r="AF337489" s="36"/>
    </row>
    <row r="337585" spans="31:32" x14ac:dyDescent="0.25">
      <c r="AE337585" s="34"/>
      <c r="AF337585" s="34"/>
    </row>
    <row r="337593" spans="31:32" x14ac:dyDescent="0.25">
      <c r="AE337593" s="36"/>
      <c r="AF337593" s="36"/>
    </row>
    <row r="337689" spans="31:32" x14ac:dyDescent="0.25">
      <c r="AE337689" s="34"/>
      <c r="AF337689" s="34"/>
    </row>
    <row r="337697" spans="31:32" x14ac:dyDescent="0.25">
      <c r="AE337697" s="36"/>
      <c r="AF337697" s="36"/>
    </row>
    <row r="337793" spans="31:32" x14ac:dyDescent="0.25">
      <c r="AE337793" s="34"/>
      <c r="AF337793" s="34"/>
    </row>
    <row r="337801" spans="31:32" x14ac:dyDescent="0.25">
      <c r="AE337801" s="36"/>
      <c r="AF337801" s="36"/>
    </row>
    <row r="337897" spans="31:32" x14ac:dyDescent="0.25">
      <c r="AE337897" s="34"/>
      <c r="AF337897" s="34"/>
    </row>
    <row r="337905" spans="31:32" x14ac:dyDescent="0.25">
      <c r="AE337905" s="36"/>
      <c r="AF337905" s="36"/>
    </row>
    <row r="338001" spans="31:32" x14ac:dyDescent="0.25">
      <c r="AE338001" s="34"/>
      <c r="AF338001" s="34"/>
    </row>
    <row r="338009" spans="31:32" x14ac:dyDescent="0.25">
      <c r="AE338009" s="36"/>
      <c r="AF338009" s="36"/>
    </row>
    <row r="338105" spans="31:32" x14ac:dyDescent="0.25">
      <c r="AE338105" s="34"/>
      <c r="AF338105" s="34"/>
    </row>
    <row r="338113" spans="31:32" x14ac:dyDescent="0.25">
      <c r="AE338113" s="36"/>
      <c r="AF338113" s="36"/>
    </row>
    <row r="338209" spans="31:32" x14ac:dyDescent="0.25">
      <c r="AE338209" s="34"/>
      <c r="AF338209" s="34"/>
    </row>
    <row r="338217" spans="31:32" x14ac:dyDescent="0.25">
      <c r="AE338217" s="36"/>
      <c r="AF338217" s="36"/>
    </row>
    <row r="338313" spans="31:32" x14ac:dyDescent="0.25">
      <c r="AE338313" s="34"/>
      <c r="AF338313" s="34"/>
    </row>
    <row r="338321" spans="31:32" x14ac:dyDescent="0.25">
      <c r="AE338321" s="36"/>
      <c r="AF338321" s="36"/>
    </row>
    <row r="338417" spans="31:32" x14ac:dyDescent="0.25">
      <c r="AE338417" s="34"/>
      <c r="AF338417" s="34"/>
    </row>
    <row r="338425" spans="31:32" x14ac:dyDescent="0.25">
      <c r="AE338425" s="36"/>
      <c r="AF338425" s="36"/>
    </row>
    <row r="338521" spans="31:32" x14ac:dyDescent="0.25">
      <c r="AE338521" s="34"/>
      <c r="AF338521" s="34"/>
    </row>
    <row r="338529" spans="31:32" x14ac:dyDescent="0.25">
      <c r="AE338529" s="36"/>
      <c r="AF338529" s="36"/>
    </row>
    <row r="338625" spans="31:32" x14ac:dyDescent="0.25">
      <c r="AE338625" s="34"/>
      <c r="AF338625" s="34"/>
    </row>
    <row r="338633" spans="31:32" x14ac:dyDescent="0.25">
      <c r="AE338633" s="36"/>
      <c r="AF338633" s="36"/>
    </row>
    <row r="338729" spans="31:32" x14ac:dyDescent="0.25">
      <c r="AE338729" s="34"/>
      <c r="AF338729" s="34"/>
    </row>
    <row r="338737" spans="31:32" x14ac:dyDescent="0.25">
      <c r="AE338737" s="36"/>
      <c r="AF338737" s="36"/>
    </row>
    <row r="338833" spans="31:32" x14ac:dyDescent="0.25">
      <c r="AE338833" s="34"/>
      <c r="AF338833" s="34"/>
    </row>
    <row r="338841" spans="31:32" x14ac:dyDescent="0.25">
      <c r="AE338841" s="36"/>
      <c r="AF338841" s="36"/>
    </row>
    <row r="338937" spans="31:32" x14ac:dyDescent="0.25">
      <c r="AE338937" s="34"/>
      <c r="AF338937" s="34"/>
    </row>
    <row r="338945" spans="31:32" x14ac:dyDescent="0.25">
      <c r="AE338945" s="36"/>
      <c r="AF338945" s="36"/>
    </row>
    <row r="339041" spans="31:32" x14ac:dyDescent="0.25">
      <c r="AE339041" s="34"/>
      <c r="AF339041" s="34"/>
    </row>
    <row r="339049" spans="31:32" x14ac:dyDescent="0.25">
      <c r="AE339049" s="36"/>
      <c r="AF339049" s="36"/>
    </row>
    <row r="339145" spans="31:32" x14ac:dyDescent="0.25">
      <c r="AE339145" s="34"/>
      <c r="AF339145" s="34"/>
    </row>
    <row r="339153" spans="31:32" x14ac:dyDescent="0.25">
      <c r="AE339153" s="36"/>
      <c r="AF339153" s="36"/>
    </row>
    <row r="339249" spans="31:32" x14ac:dyDescent="0.25">
      <c r="AE339249" s="34"/>
      <c r="AF339249" s="34"/>
    </row>
    <row r="339257" spans="31:32" x14ac:dyDescent="0.25">
      <c r="AE339257" s="36"/>
      <c r="AF339257" s="36"/>
    </row>
    <row r="339353" spans="31:32" x14ac:dyDescent="0.25">
      <c r="AE339353" s="34"/>
      <c r="AF339353" s="34"/>
    </row>
    <row r="339361" spans="31:32" x14ac:dyDescent="0.25">
      <c r="AE339361" s="36"/>
      <c r="AF339361" s="36"/>
    </row>
    <row r="339457" spans="31:32" x14ac:dyDescent="0.25">
      <c r="AE339457" s="34"/>
      <c r="AF339457" s="34"/>
    </row>
    <row r="339465" spans="31:32" x14ac:dyDescent="0.25">
      <c r="AE339465" s="36"/>
      <c r="AF339465" s="36"/>
    </row>
    <row r="339561" spans="31:32" x14ac:dyDescent="0.25">
      <c r="AE339561" s="34"/>
      <c r="AF339561" s="34"/>
    </row>
    <row r="339569" spans="31:32" x14ac:dyDescent="0.25">
      <c r="AE339569" s="36"/>
      <c r="AF339569" s="36"/>
    </row>
    <row r="339665" spans="31:32" x14ac:dyDescent="0.25">
      <c r="AE339665" s="34"/>
      <c r="AF339665" s="34"/>
    </row>
    <row r="339673" spans="31:32" x14ac:dyDescent="0.25">
      <c r="AE339673" s="36"/>
      <c r="AF339673" s="36"/>
    </row>
    <row r="339769" spans="31:32" x14ac:dyDescent="0.25">
      <c r="AE339769" s="34"/>
      <c r="AF339769" s="34"/>
    </row>
    <row r="339777" spans="31:32" x14ac:dyDescent="0.25">
      <c r="AE339777" s="36"/>
      <c r="AF339777" s="36"/>
    </row>
    <row r="339873" spans="31:32" x14ac:dyDescent="0.25">
      <c r="AE339873" s="34"/>
      <c r="AF339873" s="34"/>
    </row>
    <row r="339881" spans="31:32" x14ac:dyDescent="0.25">
      <c r="AE339881" s="36"/>
      <c r="AF339881" s="36"/>
    </row>
    <row r="339977" spans="31:32" x14ac:dyDescent="0.25">
      <c r="AE339977" s="34"/>
      <c r="AF339977" s="34"/>
    </row>
    <row r="339985" spans="31:32" x14ac:dyDescent="0.25">
      <c r="AE339985" s="36"/>
      <c r="AF339985" s="36"/>
    </row>
    <row r="340081" spans="31:32" x14ac:dyDescent="0.25">
      <c r="AE340081" s="34"/>
      <c r="AF340081" s="34"/>
    </row>
    <row r="340089" spans="31:32" x14ac:dyDescent="0.25">
      <c r="AE340089" s="36"/>
      <c r="AF340089" s="36"/>
    </row>
    <row r="340185" spans="31:32" x14ac:dyDescent="0.25">
      <c r="AE340185" s="34"/>
      <c r="AF340185" s="34"/>
    </row>
    <row r="340193" spans="31:32" x14ac:dyDescent="0.25">
      <c r="AE340193" s="36"/>
      <c r="AF340193" s="36"/>
    </row>
    <row r="340289" spans="31:32" x14ac:dyDescent="0.25">
      <c r="AE340289" s="34"/>
      <c r="AF340289" s="34"/>
    </row>
    <row r="340297" spans="31:32" x14ac:dyDescent="0.25">
      <c r="AE340297" s="36"/>
      <c r="AF340297" s="36"/>
    </row>
    <row r="340393" spans="31:32" x14ac:dyDescent="0.25">
      <c r="AE340393" s="34"/>
      <c r="AF340393" s="34"/>
    </row>
    <row r="340401" spans="31:32" x14ac:dyDescent="0.25">
      <c r="AE340401" s="36"/>
      <c r="AF340401" s="36"/>
    </row>
    <row r="340497" spans="31:32" x14ac:dyDescent="0.25">
      <c r="AE340497" s="34"/>
      <c r="AF340497" s="34"/>
    </row>
    <row r="340505" spans="31:32" x14ac:dyDescent="0.25">
      <c r="AE340505" s="36"/>
      <c r="AF340505" s="36"/>
    </row>
    <row r="340601" spans="31:32" x14ac:dyDescent="0.25">
      <c r="AE340601" s="34"/>
      <c r="AF340601" s="34"/>
    </row>
    <row r="340609" spans="31:32" x14ac:dyDescent="0.25">
      <c r="AE340609" s="36"/>
      <c r="AF340609" s="36"/>
    </row>
    <row r="340705" spans="31:32" x14ac:dyDescent="0.25">
      <c r="AE340705" s="34"/>
      <c r="AF340705" s="34"/>
    </row>
    <row r="340713" spans="31:32" x14ac:dyDescent="0.25">
      <c r="AE340713" s="36"/>
      <c r="AF340713" s="36"/>
    </row>
    <row r="340809" spans="31:32" x14ac:dyDescent="0.25">
      <c r="AE340809" s="34"/>
      <c r="AF340809" s="34"/>
    </row>
    <row r="340817" spans="31:32" x14ac:dyDescent="0.25">
      <c r="AE340817" s="36"/>
      <c r="AF340817" s="36"/>
    </row>
    <row r="340913" spans="31:32" x14ac:dyDescent="0.25">
      <c r="AE340913" s="34"/>
      <c r="AF340913" s="34"/>
    </row>
    <row r="340921" spans="31:32" x14ac:dyDescent="0.25">
      <c r="AE340921" s="36"/>
      <c r="AF340921" s="36"/>
    </row>
    <row r="341017" spans="31:32" x14ac:dyDescent="0.25">
      <c r="AE341017" s="34"/>
      <c r="AF341017" s="34"/>
    </row>
    <row r="341025" spans="31:32" x14ac:dyDescent="0.25">
      <c r="AE341025" s="36"/>
      <c r="AF341025" s="36"/>
    </row>
    <row r="341121" spans="31:32" x14ac:dyDescent="0.25">
      <c r="AE341121" s="34"/>
      <c r="AF341121" s="34"/>
    </row>
    <row r="341129" spans="31:32" x14ac:dyDescent="0.25">
      <c r="AE341129" s="36"/>
      <c r="AF341129" s="36"/>
    </row>
    <row r="341225" spans="31:32" x14ac:dyDescent="0.25">
      <c r="AE341225" s="34"/>
      <c r="AF341225" s="34"/>
    </row>
    <row r="341233" spans="31:32" x14ac:dyDescent="0.25">
      <c r="AE341233" s="36"/>
      <c r="AF341233" s="36"/>
    </row>
    <row r="341329" spans="31:32" x14ac:dyDescent="0.25">
      <c r="AE341329" s="34"/>
      <c r="AF341329" s="34"/>
    </row>
    <row r="341337" spans="31:32" x14ac:dyDescent="0.25">
      <c r="AE341337" s="36"/>
      <c r="AF341337" s="36"/>
    </row>
    <row r="341433" spans="31:32" x14ac:dyDescent="0.25">
      <c r="AE341433" s="34"/>
      <c r="AF341433" s="34"/>
    </row>
    <row r="341441" spans="31:32" x14ac:dyDescent="0.25">
      <c r="AE341441" s="36"/>
      <c r="AF341441" s="36"/>
    </row>
    <row r="341537" spans="31:32" x14ac:dyDescent="0.25">
      <c r="AE341537" s="34"/>
      <c r="AF341537" s="34"/>
    </row>
    <row r="341545" spans="31:32" x14ac:dyDescent="0.25">
      <c r="AE341545" s="36"/>
      <c r="AF341545" s="36"/>
    </row>
    <row r="341641" spans="31:32" x14ac:dyDescent="0.25">
      <c r="AE341641" s="34"/>
      <c r="AF341641" s="34"/>
    </row>
    <row r="341649" spans="31:32" x14ac:dyDescent="0.25">
      <c r="AE341649" s="36"/>
      <c r="AF341649" s="36"/>
    </row>
    <row r="341745" spans="31:32" x14ac:dyDescent="0.25">
      <c r="AE341745" s="34"/>
      <c r="AF341745" s="34"/>
    </row>
    <row r="341753" spans="31:32" x14ac:dyDescent="0.25">
      <c r="AE341753" s="36"/>
      <c r="AF341753" s="36"/>
    </row>
    <row r="341849" spans="31:32" x14ac:dyDescent="0.25">
      <c r="AE341849" s="34"/>
      <c r="AF341849" s="34"/>
    </row>
    <row r="341857" spans="31:32" x14ac:dyDescent="0.25">
      <c r="AE341857" s="36"/>
      <c r="AF341857" s="36"/>
    </row>
    <row r="341953" spans="31:32" x14ac:dyDescent="0.25">
      <c r="AE341953" s="34"/>
      <c r="AF341953" s="34"/>
    </row>
    <row r="341961" spans="31:32" x14ac:dyDescent="0.25">
      <c r="AE341961" s="36"/>
      <c r="AF341961" s="36"/>
    </row>
    <row r="342057" spans="31:32" x14ac:dyDescent="0.25">
      <c r="AE342057" s="34"/>
      <c r="AF342057" s="34"/>
    </row>
    <row r="342065" spans="31:32" x14ac:dyDescent="0.25">
      <c r="AE342065" s="36"/>
      <c r="AF342065" s="36"/>
    </row>
    <row r="342161" spans="31:32" x14ac:dyDescent="0.25">
      <c r="AE342161" s="34"/>
      <c r="AF342161" s="34"/>
    </row>
    <row r="342169" spans="31:32" x14ac:dyDescent="0.25">
      <c r="AE342169" s="36"/>
      <c r="AF342169" s="36"/>
    </row>
    <row r="342265" spans="31:32" x14ac:dyDescent="0.25">
      <c r="AE342265" s="34"/>
      <c r="AF342265" s="34"/>
    </row>
    <row r="342273" spans="31:32" x14ac:dyDescent="0.25">
      <c r="AE342273" s="36"/>
      <c r="AF342273" s="36"/>
    </row>
    <row r="342369" spans="31:32" x14ac:dyDescent="0.25">
      <c r="AE342369" s="34"/>
      <c r="AF342369" s="34"/>
    </row>
    <row r="342377" spans="31:32" x14ac:dyDescent="0.25">
      <c r="AE342377" s="36"/>
      <c r="AF342377" s="36"/>
    </row>
    <row r="342473" spans="31:32" x14ac:dyDescent="0.25">
      <c r="AE342473" s="34"/>
      <c r="AF342473" s="34"/>
    </row>
    <row r="342481" spans="31:32" x14ac:dyDescent="0.25">
      <c r="AE342481" s="36"/>
      <c r="AF342481" s="36"/>
    </row>
    <row r="342577" spans="31:32" x14ac:dyDescent="0.25">
      <c r="AE342577" s="34"/>
      <c r="AF342577" s="34"/>
    </row>
    <row r="342585" spans="31:32" x14ac:dyDescent="0.25">
      <c r="AE342585" s="36"/>
      <c r="AF342585" s="36"/>
    </row>
    <row r="342681" spans="31:32" x14ac:dyDescent="0.25">
      <c r="AE342681" s="34"/>
      <c r="AF342681" s="34"/>
    </row>
    <row r="342689" spans="31:32" x14ac:dyDescent="0.25">
      <c r="AE342689" s="36"/>
      <c r="AF342689" s="36"/>
    </row>
    <row r="342785" spans="31:32" x14ac:dyDescent="0.25">
      <c r="AE342785" s="34"/>
      <c r="AF342785" s="34"/>
    </row>
    <row r="342793" spans="31:32" x14ac:dyDescent="0.25">
      <c r="AE342793" s="36"/>
      <c r="AF342793" s="36"/>
    </row>
    <row r="342889" spans="31:32" x14ac:dyDescent="0.25">
      <c r="AE342889" s="34"/>
      <c r="AF342889" s="34"/>
    </row>
    <row r="342897" spans="31:32" x14ac:dyDescent="0.25">
      <c r="AE342897" s="36"/>
      <c r="AF342897" s="36"/>
    </row>
    <row r="342993" spans="31:32" x14ac:dyDescent="0.25">
      <c r="AE342993" s="34"/>
      <c r="AF342993" s="34"/>
    </row>
    <row r="343001" spans="31:32" x14ac:dyDescent="0.25">
      <c r="AE343001" s="36"/>
      <c r="AF343001" s="36"/>
    </row>
    <row r="343097" spans="31:32" x14ac:dyDescent="0.25">
      <c r="AE343097" s="34"/>
      <c r="AF343097" s="34"/>
    </row>
    <row r="343105" spans="31:32" x14ac:dyDescent="0.25">
      <c r="AE343105" s="36"/>
      <c r="AF343105" s="36"/>
    </row>
    <row r="343201" spans="31:32" x14ac:dyDescent="0.25">
      <c r="AE343201" s="34"/>
      <c r="AF343201" s="34"/>
    </row>
    <row r="343209" spans="31:32" x14ac:dyDescent="0.25">
      <c r="AE343209" s="36"/>
      <c r="AF343209" s="36"/>
    </row>
    <row r="343305" spans="31:32" x14ac:dyDescent="0.25">
      <c r="AE343305" s="34"/>
      <c r="AF343305" s="34"/>
    </row>
    <row r="343313" spans="31:32" x14ac:dyDescent="0.25">
      <c r="AE343313" s="36"/>
      <c r="AF343313" s="36"/>
    </row>
    <row r="343409" spans="31:32" x14ac:dyDescent="0.25">
      <c r="AE343409" s="34"/>
      <c r="AF343409" s="34"/>
    </row>
    <row r="343417" spans="31:32" x14ac:dyDescent="0.25">
      <c r="AE343417" s="36"/>
      <c r="AF343417" s="36"/>
    </row>
    <row r="343513" spans="31:32" x14ac:dyDescent="0.25">
      <c r="AE343513" s="34"/>
      <c r="AF343513" s="34"/>
    </row>
    <row r="343521" spans="31:32" x14ac:dyDescent="0.25">
      <c r="AE343521" s="36"/>
      <c r="AF343521" s="36"/>
    </row>
    <row r="343617" spans="31:32" x14ac:dyDescent="0.25">
      <c r="AE343617" s="34"/>
      <c r="AF343617" s="34"/>
    </row>
    <row r="343625" spans="31:32" x14ac:dyDescent="0.25">
      <c r="AE343625" s="36"/>
      <c r="AF343625" s="36"/>
    </row>
    <row r="343721" spans="31:32" x14ac:dyDescent="0.25">
      <c r="AE343721" s="34"/>
      <c r="AF343721" s="34"/>
    </row>
    <row r="343729" spans="31:32" x14ac:dyDescent="0.25">
      <c r="AE343729" s="36"/>
      <c r="AF343729" s="36"/>
    </row>
    <row r="343825" spans="31:32" x14ac:dyDescent="0.25">
      <c r="AE343825" s="34"/>
      <c r="AF343825" s="34"/>
    </row>
    <row r="343833" spans="31:32" x14ac:dyDescent="0.25">
      <c r="AE343833" s="36"/>
      <c r="AF343833" s="36"/>
    </row>
    <row r="343929" spans="31:32" x14ac:dyDescent="0.25">
      <c r="AE343929" s="34"/>
      <c r="AF343929" s="34"/>
    </row>
    <row r="343937" spans="31:32" x14ac:dyDescent="0.25">
      <c r="AE343937" s="36"/>
      <c r="AF343937" s="36"/>
    </row>
    <row r="344033" spans="31:32" x14ac:dyDescent="0.25">
      <c r="AE344033" s="34"/>
      <c r="AF344033" s="34"/>
    </row>
    <row r="344041" spans="31:32" x14ac:dyDescent="0.25">
      <c r="AE344041" s="36"/>
      <c r="AF344041" s="36"/>
    </row>
    <row r="344137" spans="31:32" x14ac:dyDescent="0.25">
      <c r="AE344137" s="34"/>
      <c r="AF344137" s="34"/>
    </row>
    <row r="344145" spans="31:32" x14ac:dyDescent="0.25">
      <c r="AE344145" s="36"/>
      <c r="AF344145" s="36"/>
    </row>
    <row r="344241" spans="31:32" x14ac:dyDescent="0.25">
      <c r="AE344241" s="34"/>
      <c r="AF344241" s="34"/>
    </row>
    <row r="344249" spans="31:32" x14ac:dyDescent="0.25">
      <c r="AE344249" s="36"/>
      <c r="AF344249" s="36"/>
    </row>
    <row r="344345" spans="31:32" x14ac:dyDescent="0.25">
      <c r="AE344345" s="34"/>
      <c r="AF344345" s="34"/>
    </row>
    <row r="344353" spans="31:32" x14ac:dyDescent="0.25">
      <c r="AE344353" s="36"/>
      <c r="AF344353" s="36"/>
    </row>
    <row r="344449" spans="31:32" x14ac:dyDescent="0.25">
      <c r="AE344449" s="34"/>
      <c r="AF344449" s="34"/>
    </row>
    <row r="344457" spans="31:32" x14ac:dyDescent="0.25">
      <c r="AE344457" s="36"/>
      <c r="AF344457" s="36"/>
    </row>
    <row r="344553" spans="31:32" x14ac:dyDescent="0.25">
      <c r="AE344553" s="34"/>
      <c r="AF344553" s="34"/>
    </row>
    <row r="344561" spans="31:32" x14ac:dyDescent="0.25">
      <c r="AE344561" s="36"/>
      <c r="AF344561" s="36"/>
    </row>
    <row r="344657" spans="31:32" x14ac:dyDescent="0.25">
      <c r="AE344657" s="34"/>
      <c r="AF344657" s="34"/>
    </row>
    <row r="344665" spans="31:32" x14ac:dyDescent="0.25">
      <c r="AE344665" s="36"/>
      <c r="AF344665" s="36"/>
    </row>
    <row r="344761" spans="31:32" x14ac:dyDescent="0.25">
      <c r="AE344761" s="34"/>
      <c r="AF344761" s="34"/>
    </row>
    <row r="344769" spans="31:32" x14ac:dyDescent="0.25">
      <c r="AE344769" s="36"/>
      <c r="AF344769" s="36"/>
    </row>
    <row r="344865" spans="31:32" x14ac:dyDescent="0.25">
      <c r="AE344865" s="34"/>
      <c r="AF344865" s="34"/>
    </row>
    <row r="344873" spans="31:32" x14ac:dyDescent="0.25">
      <c r="AE344873" s="36"/>
      <c r="AF344873" s="36"/>
    </row>
    <row r="344969" spans="31:32" x14ac:dyDescent="0.25">
      <c r="AE344969" s="34"/>
      <c r="AF344969" s="34"/>
    </row>
    <row r="344977" spans="31:32" x14ac:dyDescent="0.25">
      <c r="AE344977" s="36"/>
      <c r="AF344977" s="36"/>
    </row>
    <row r="345073" spans="31:32" x14ac:dyDescent="0.25">
      <c r="AE345073" s="34"/>
      <c r="AF345073" s="34"/>
    </row>
    <row r="345081" spans="31:32" x14ac:dyDescent="0.25">
      <c r="AE345081" s="36"/>
      <c r="AF345081" s="36"/>
    </row>
    <row r="345177" spans="31:32" x14ac:dyDescent="0.25">
      <c r="AE345177" s="34"/>
      <c r="AF345177" s="34"/>
    </row>
    <row r="345185" spans="31:32" x14ac:dyDescent="0.25">
      <c r="AE345185" s="36"/>
      <c r="AF345185" s="36"/>
    </row>
    <row r="345281" spans="31:32" x14ac:dyDescent="0.25">
      <c r="AE345281" s="34"/>
      <c r="AF345281" s="34"/>
    </row>
    <row r="345289" spans="31:32" x14ac:dyDescent="0.25">
      <c r="AE345289" s="36"/>
      <c r="AF345289" s="36"/>
    </row>
    <row r="345385" spans="31:32" x14ac:dyDescent="0.25">
      <c r="AE345385" s="34"/>
      <c r="AF345385" s="34"/>
    </row>
    <row r="345393" spans="31:32" x14ac:dyDescent="0.25">
      <c r="AE345393" s="36"/>
      <c r="AF345393" s="36"/>
    </row>
    <row r="345489" spans="31:32" x14ac:dyDescent="0.25">
      <c r="AE345489" s="34"/>
      <c r="AF345489" s="34"/>
    </row>
    <row r="345497" spans="31:32" x14ac:dyDescent="0.25">
      <c r="AE345497" s="36"/>
      <c r="AF345497" s="36"/>
    </row>
    <row r="345593" spans="31:32" x14ac:dyDescent="0.25">
      <c r="AE345593" s="34"/>
      <c r="AF345593" s="34"/>
    </row>
    <row r="345601" spans="31:32" x14ac:dyDescent="0.25">
      <c r="AE345601" s="36"/>
      <c r="AF345601" s="36"/>
    </row>
    <row r="345697" spans="31:32" x14ac:dyDescent="0.25">
      <c r="AE345697" s="34"/>
      <c r="AF345697" s="34"/>
    </row>
    <row r="345705" spans="31:32" x14ac:dyDescent="0.25">
      <c r="AE345705" s="36"/>
      <c r="AF345705" s="36"/>
    </row>
    <row r="345801" spans="31:32" x14ac:dyDescent="0.25">
      <c r="AE345801" s="34"/>
      <c r="AF345801" s="34"/>
    </row>
    <row r="345809" spans="31:32" x14ac:dyDescent="0.25">
      <c r="AE345809" s="36"/>
      <c r="AF345809" s="36"/>
    </row>
    <row r="345905" spans="31:32" x14ac:dyDescent="0.25">
      <c r="AE345905" s="34"/>
      <c r="AF345905" s="34"/>
    </row>
    <row r="345913" spans="31:32" x14ac:dyDescent="0.25">
      <c r="AE345913" s="36"/>
      <c r="AF345913" s="36"/>
    </row>
    <row r="346009" spans="31:32" x14ac:dyDescent="0.25">
      <c r="AE346009" s="34"/>
      <c r="AF346009" s="34"/>
    </row>
    <row r="346017" spans="31:32" x14ac:dyDescent="0.25">
      <c r="AE346017" s="36"/>
      <c r="AF346017" s="36"/>
    </row>
    <row r="346113" spans="31:32" x14ac:dyDescent="0.25">
      <c r="AE346113" s="34"/>
      <c r="AF346113" s="34"/>
    </row>
    <row r="346121" spans="31:32" x14ac:dyDescent="0.25">
      <c r="AE346121" s="36"/>
      <c r="AF346121" s="36"/>
    </row>
    <row r="346217" spans="31:32" x14ac:dyDescent="0.25">
      <c r="AE346217" s="34"/>
      <c r="AF346217" s="34"/>
    </row>
    <row r="346225" spans="31:32" x14ac:dyDescent="0.25">
      <c r="AE346225" s="36"/>
      <c r="AF346225" s="36"/>
    </row>
    <row r="346321" spans="31:32" x14ac:dyDescent="0.25">
      <c r="AE346321" s="34"/>
      <c r="AF346321" s="34"/>
    </row>
    <row r="346329" spans="31:32" x14ac:dyDescent="0.25">
      <c r="AE346329" s="36"/>
      <c r="AF346329" s="36"/>
    </row>
    <row r="346425" spans="31:32" x14ac:dyDescent="0.25">
      <c r="AE346425" s="34"/>
      <c r="AF346425" s="34"/>
    </row>
    <row r="346433" spans="31:32" x14ac:dyDescent="0.25">
      <c r="AE346433" s="36"/>
      <c r="AF346433" s="36"/>
    </row>
    <row r="346529" spans="31:32" x14ac:dyDescent="0.25">
      <c r="AE346529" s="34"/>
      <c r="AF346529" s="34"/>
    </row>
    <row r="346537" spans="31:32" x14ac:dyDescent="0.25">
      <c r="AE346537" s="36"/>
      <c r="AF346537" s="36"/>
    </row>
    <row r="346633" spans="31:32" x14ac:dyDescent="0.25">
      <c r="AE346633" s="34"/>
      <c r="AF346633" s="34"/>
    </row>
    <row r="346641" spans="31:32" x14ac:dyDescent="0.25">
      <c r="AE346641" s="36"/>
      <c r="AF346641" s="36"/>
    </row>
    <row r="346737" spans="31:32" x14ac:dyDescent="0.25">
      <c r="AE346737" s="34"/>
      <c r="AF346737" s="34"/>
    </row>
    <row r="346745" spans="31:32" x14ac:dyDescent="0.25">
      <c r="AE346745" s="36"/>
      <c r="AF346745" s="36"/>
    </row>
    <row r="346841" spans="31:32" x14ac:dyDescent="0.25">
      <c r="AE346841" s="34"/>
      <c r="AF346841" s="34"/>
    </row>
    <row r="346849" spans="31:32" x14ac:dyDescent="0.25">
      <c r="AE346849" s="36"/>
      <c r="AF346849" s="36"/>
    </row>
    <row r="346945" spans="31:32" x14ac:dyDescent="0.25">
      <c r="AE346945" s="34"/>
      <c r="AF346945" s="34"/>
    </row>
    <row r="346953" spans="31:32" x14ac:dyDescent="0.25">
      <c r="AE346953" s="36"/>
      <c r="AF346953" s="36"/>
    </row>
    <row r="347049" spans="31:32" x14ac:dyDescent="0.25">
      <c r="AE347049" s="34"/>
      <c r="AF347049" s="34"/>
    </row>
    <row r="347057" spans="31:32" x14ac:dyDescent="0.25">
      <c r="AE347057" s="36"/>
      <c r="AF347057" s="36"/>
    </row>
    <row r="347153" spans="31:32" x14ac:dyDescent="0.25">
      <c r="AE347153" s="34"/>
      <c r="AF347153" s="34"/>
    </row>
    <row r="347161" spans="31:32" x14ac:dyDescent="0.25">
      <c r="AE347161" s="36"/>
      <c r="AF347161" s="36"/>
    </row>
    <row r="347257" spans="31:32" x14ac:dyDescent="0.25">
      <c r="AE347257" s="34"/>
      <c r="AF347257" s="34"/>
    </row>
    <row r="347265" spans="31:32" x14ac:dyDescent="0.25">
      <c r="AE347265" s="36"/>
      <c r="AF347265" s="36"/>
    </row>
    <row r="347361" spans="31:32" x14ac:dyDescent="0.25">
      <c r="AE347361" s="34"/>
      <c r="AF347361" s="34"/>
    </row>
    <row r="347369" spans="31:32" x14ac:dyDescent="0.25">
      <c r="AE347369" s="36"/>
      <c r="AF347369" s="36"/>
    </row>
    <row r="347465" spans="31:32" x14ac:dyDescent="0.25">
      <c r="AE347465" s="34"/>
      <c r="AF347465" s="34"/>
    </row>
    <row r="347473" spans="31:32" x14ac:dyDescent="0.25">
      <c r="AE347473" s="36"/>
      <c r="AF347473" s="36"/>
    </row>
    <row r="347569" spans="31:32" x14ac:dyDescent="0.25">
      <c r="AE347569" s="34"/>
      <c r="AF347569" s="34"/>
    </row>
    <row r="347577" spans="31:32" x14ac:dyDescent="0.25">
      <c r="AE347577" s="36"/>
      <c r="AF347577" s="36"/>
    </row>
    <row r="347673" spans="31:32" x14ac:dyDescent="0.25">
      <c r="AE347673" s="34"/>
      <c r="AF347673" s="34"/>
    </row>
    <row r="347681" spans="31:32" x14ac:dyDescent="0.25">
      <c r="AE347681" s="36"/>
      <c r="AF347681" s="36"/>
    </row>
    <row r="347777" spans="31:32" x14ac:dyDescent="0.25">
      <c r="AE347777" s="34"/>
      <c r="AF347777" s="34"/>
    </row>
    <row r="347785" spans="31:32" x14ac:dyDescent="0.25">
      <c r="AE347785" s="36"/>
      <c r="AF347785" s="36"/>
    </row>
    <row r="347881" spans="31:32" x14ac:dyDescent="0.25">
      <c r="AE347881" s="34"/>
      <c r="AF347881" s="34"/>
    </row>
    <row r="347889" spans="31:32" x14ac:dyDescent="0.25">
      <c r="AE347889" s="36"/>
      <c r="AF347889" s="36"/>
    </row>
    <row r="347985" spans="31:32" x14ac:dyDescent="0.25">
      <c r="AE347985" s="34"/>
      <c r="AF347985" s="34"/>
    </row>
    <row r="347993" spans="31:32" x14ac:dyDescent="0.25">
      <c r="AE347993" s="36"/>
      <c r="AF347993" s="36"/>
    </row>
    <row r="348089" spans="31:32" x14ac:dyDescent="0.25">
      <c r="AE348089" s="34"/>
      <c r="AF348089" s="34"/>
    </row>
    <row r="348097" spans="31:32" x14ac:dyDescent="0.25">
      <c r="AE348097" s="36"/>
      <c r="AF348097" s="36"/>
    </row>
    <row r="348193" spans="31:32" x14ac:dyDescent="0.25">
      <c r="AE348193" s="34"/>
      <c r="AF348193" s="34"/>
    </row>
    <row r="348201" spans="31:32" x14ac:dyDescent="0.25">
      <c r="AE348201" s="36"/>
      <c r="AF348201" s="36"/>
    </row>
    <row r="348297" spans="31:32" x14ac:dyDescent="0.25">
      <c r="AE348297" s="34"/>
      <c r="AF348297" s="34"/>
    </row>
    <row r="348305" spans="31:32" x14ac:dyDescent="0.25">
      <c r="AE348305" s="36"/>
      <c r="AF348305" s="36"/>
    </row>
    <row r="348401" spans="31:32" x14ac:dyDescent="0.25">
      <c r="AE348401" s="34"/>
      <c r="AF348401" s="34"/>
    </row>
    <row r="348409" spans="31:32" x14ac:dyDescent="0.25">
      <c r="AE348409" s="36"/>
      <c r="AF348409" s="36"/>
    </row>
    <row r="348505" spans="31:32" x14ac:dyDescent="0.25">
      <c r="AE348505" s="34"/>
      <c r="AF348505" s="34"/>
    </row>
    <row r="348513" spans="31:32" x14ac:dyDescent="0.25">
      <c r="AE348513" s="36"/>
      <c r="AF348513" s="36"/>
    </row>
    <row r="348609" spans="31:32" x14ac:dyDescent="0.25">
      <c r="AE348609" s="34"/>
      <c r="AF348609" s="34"/>
    </row>
    <row r="348617" spans="31:32" x14ac:dyDescent="0.25">
      <c r="AE348617" s="36"/>
      <c r="AF348617" s="36"/>
    </row>
    <row r="348713" spans="31:32" x14ac:dyDescent="0.25">
      <c r="AE348713" s="34"/>
      <c r="AF348713" s="34"/>
    </row>
    <row r="348721" spans="31:32" x14ac:dyDescent="0.25">
      <c r="AE348721" s="36"/>
      <c r="AF348721" s="36"/>
    </row>
    <row r="348817" spans="31:32" x14ac:dyDescent="0.25">
      <c r="AE348817" s="34"/>
      <c r="AF348817" s="34"/>
    </row>
    <row r="348825" spans="31:32" x14ac:dyDescent="0.25">
      <c r="AE348825" s="36"/>
      <c r="AF348825" s="36"/>
    </row>
    <row r="348921" spans="31:32" x14ac:dyDescent="0.25">
      <c r="AE348921" s="34"/>
      <c r="AF348921" s="34"/>
    </row>
    <row r="348929" spans="31:32" x14ac:dyDescent="0.25">
      <c r="AE348929" s="36"/>
      <c r="AF348929" s="36"/>
    </row>
    <row r="349025" spans="31:32" x14ac:dyDescent="0.25">
      <c r="AE349025" s="34"/>
      <c r="AF349025" s="34"/>
    </row>
    <row r="349033" spans="31:32" x14ac:dyDescent="0.25">
      <c r="AE349033" s="36"/>
      <c r="AF349033" s="36"/>
    </row>
    <row r="349129" spans="31:32" x14ac:dyDescent="0.25">
      <c r="AE349129" s="34"/>
      <c r="AF349129" s="34"/>
    </row>
    <row r="349137" spans="31:32" x14ac:dyDescent="0.25">
      <c r="AE349137" s="36"/>
      <c r="AF349137" s="36"/>
    </row>
    <row r="349233" spans="31:32" x14ac:dyDescent="0.25">
      <c r="AE349233" s="34"/>
      <c r="AF349233" s="34"/>
    </row>
    <row r="349241" spans="31:32" x14ac:dyDescent="0.25">
      <c r="AE349241" s="36"/>
      <c r="AF349241" s="36"/>
    </row>
    <row r="349337" spans="31:32" x14ac:dyDescent="0.25">
      <c r="AE349337" s="34"/>
      <c r="AF349337" s="34"/>
    </row>
    <row r="349345" spans="31:32" x14ac:dyDescent="0.25">
      <c r="AE349345" s="36"/>
      <c r="AF349345" s="36"/>
    </row>
    <row r="349441" spans="31:32" x14ac:dyDescent="0.25">
      <c r="AE349441" s="34"/>
      <c r="AF349441" s="34"/>
    </row>
    <row r="349449" spans="31:32" x14ac:dyDescent="0.25">
      <c r="AE349449" s="36"/>
      <c r="AF349449" s="36"/>
    </row>
    <row r="349545" spans="31:32" x14ac:dyDescent="0.25">
      <c r="AE349545" s="34"/>
      <c r="AF349545" s="34"/>
    </row>
    <row r="349553" spans="31:32" x14ac:dyDescent="0.25">
      <c r="AE349553" s="36"/>
      <c r="AF349553" s="36"/>
    </row>
    <row r="349649" spans="31:32" x14ac:dyDescent="0.25">
      <c r="AE349649" s="34"/>
      <c r="AF349649" s="34"/>
    </row>
    <row r="349657" spans="31:32" x14ac:dyDescent="0.25">
      <c r="AE349657" s="36"/>
      <c r="AF349657" s="36"/>
    </row>
    <row r="349753" spans="31:32" x14ac:dyDescent="0.25">
      <c r="AE349753" s="34"/>
      <c r="AF349753" s="34"/>
    </row>
    <row r="349761" spans="31:32" x14ac:dyDescent="0.25">
      <c r="AE349761" s="36"/>
      <c r="AF349761" s="36"/>
    </row>
    <row r="349857" spans="31:32" x14ac:dyDescent="0.25">
      <c r="AE349857" s="34"/>
      <c r="AF349857" s="34"/>
    </row>
    <row r="349865" spans="31:32" x14ac:dyDescent="0.25">
      <c r="AE349865" s="36"/>
      <c r="AF349865" s="36"/>
    </row>
    <row r="349961" spans="31:32" x14ac:dyDescent="0.25">
      <c r="AE349961" s="34"/>
      <c r="AF349961" s="34"/>
    </row>
    <row r="349969" spans="31:32" x14ac:dyDescent="0.25">
      <c r="AE349969" s="36"/>
      <c r="AF349969" s="36"/>
    </row>
    <row r="350065" spans="31:32" x14ac:dyDescent="0.25">
      <c r="AE350065" s="34"/>
      <c r="AF350065" s="34"/>
    </row>
    <row r="350073" spans="31:32" x14ac:dyDescent="0.25">
      <c r="AE350073" s="36"/>
      <c r="AF350073" s="36"/>
    </row>
    <row r="350169" spans="31:32" x14ac:dyDescent="0.25">
      <c r="AE350169" s="34"/>
      <c r="AF350169" s="34"/>
    </row>
    <row r="350177" spans="31:32" x14ac:dyDescent="0.25">
      <c r="AE350177" s="36"/>
      <c r="AF350177" s="36"/>
    </row>
    <row r="350273" spans="31:32" x14ac:dyDescent="0.25">
      <c r="AE350273" s="34"/>
      <c r="AF350273" s="34"/>
    </row>
    <row r="350281" spans="31:32" x14ac:dyDescent="0.25">
      <c r="AE350281" s="36"/>
      <c r="AF350281" s="36"/>
    </row>
    <row r="350377" spans="31:32" x14ac:dyDescent="0.25">
      <c r="AE350377" s="34"/>
      <c r="AF350377" s="34"/>
    </row>
    <row r="350385" spans="31:32" x14ac:dyDescent="0.25">
      <c r="AE350385" s="36"/>
      <c r="AF350385" s="36"/>
    </row>
    <row r="350481" spans="31:32" x14ac:dyDescent="0.25">
      <c r="AE350481" s="34"/>
      <c r="AF350481" s="34"/>
    </row>
    <row r="350489" spans="31:32" x14ac:dyDescent="0.25">
      <c r="AE350489" s="36"/>
      <c r="AF350489" s="36"/>
    </row>
    <row r="350585" spans="31:32" x14ac:dyDescent="0.25">
      <c r="AE350585" s="34"/>
      <c r="AF350585" s="34"/>
    </row>
    <row r="350593" spans="31:32" x14ac:dyDescent="0.25">
      <c r="AE350593" s="36"/>
      <c r="AF350593" s="36"/>
    </row>
    <row r="350689" spans="31:32" x14ac:dyDescent="0.25">
      <c r="AE350689" s="34"/>
      <c r="AF350689" s="34"/>
    </row>
    <row r="350697" spans="31:32" x14ac:dyDescent="0.25">
      <c r="AE350697" s="36"/>
      <c r="AF350697" s="36"/>
    </row>
    <row r="350793" spans="31:32" x14ac:dyDescent="0.25">
      <c r="AE350793" s="34"/>
      <c r="AF350793" s="34"/>
    </row>
    <row r="350801" spans="31:32" x14ac:dyDescent="0.25">
      <c r="AE350801" s="36"/>
      <c r="AF350801" s="36"/>
    </row>
    <row r="350897" spans="31:32" x14ac:dyDescent="0.25">
      <c r="AE350897" s="34"/>
      <c r="AF350897" s="34"/>
    </row>
    <row r="350905" spans="31:32" x14ac:dyDescent="0.25">
      <c r="AE350905" s="36"/>
      <c r="AF350905" s="36"/>
    </row>
    <row r="351001" spans="31:32" x14ac:dyDescent="0.25">
      <c r="AE351001" s="34"/>
      <c r="AF351001" s="34"/>
    </row>
    <row r="351009" spans="31:32" x14ac:dyDescent="0.25">
      <c r="AE351009" s="36"/>
      <c r="AF351009" s="36"/>
    </row>
    <row r="351105" spans="31:32" x14ac:dyDescent="0.25">
      <c r="AE351105" s="34"/>
      <c r="AF351105" s="34"/>
    </row>
    <row r="351113" spans="31:32" x14ac:dyDescent="0.25">
      <c r="AE351113" s="36"/>
      <c r="AF351113" s="36"/>
    </row>
    <row r="351209" spans="31:32" x14ac:dyDescent="0.25">
      <c r="AE351209" s="34"/>
      <c r="AF351209" s="34"/>
    </row>
    <row r="351217" spans="31:32" x14ac:dyDescent="0.25">
      <c r="AE351217" s="36"/>
      <c r="AF351217" s="36"/>
    </row>
    <row r="351313" spans="31:32" x14ac:dyDescent="0.25">
      <c r="AE351313" s="34"/>
      <c r="AF351313" s="34"/>
    </row>
    <row r="351321" spans="31:32" x14ac:dyDescent="0.25">
      <c r="AE351321" s="36"/>
      <c r="AF351321" s="36"/>
    </row>
    <row r="351417" spans="31:32" x14ac:dyDescent="0.25">
      <c r="AE351417" s="34"/>
      <c r="AF351417" s="34"/>
    </row>
    <row r="351425" spans="31:32" x14ac:dyDescent="0.25">
      <c r="AE351425" s="36"/>
      <c r="AF351425" s="36"/>
    </row>
    <row r="351521" spans="31:32" x14ac:dyDescent="0.25">
      <c r="AE351521" s="34"/>
      <c r="AF351521" s="34"/>
    </row>
    <row r="351529" spans="31:32" x14ac:dyDescent="0.25">
      <c r="AE351529" s="36"/>
      <c r="AF351529" s="36"/>
    </row>
    <row r="351625" spans="31:32" x14ac:dyDescent="0.25">
      <c r="AE351625" s="34"/>
      <c r="AF351625" s="34"/>
    </row>
    <row r="351633" spans="31:32" x14ac:dyDescent="0.25">
      <c r="AE351633" s="36"/>
      <c r="AF351633" s="36"/>
    </row>
    <row r="351729" spans="31:32" x14ac:dyDescent="0.25">
      <c r="AE351729" s="34"/>
      <c r="AF351729" s="34"/>
    </row>
    <row r="351737" spans="31:32" x14ac:dyDescent="0.25">
      <c r="AE351737" s="36"/>
      <c r="AF351737" s="36"/>
    </row>
    <row r="351833" spans="31:32" x14ac:dyDescent="0.25">
      <c r="AE351833" s="34"/>
      <c r="AF351833" s="34"/>
    </row>
    <row r="351841" spans="31:32" x14ac:dyDescent="0.25">
      <c r="AE351841" s="36"/>
      <c r="AF351841" s="36"/>
    </row>
    <row r="351937" spans="31:32" x14ac:dyDescent="0.25">
      <c r="AE351937" s="34"/>
      <c r="AF351937" s="34"/>
    </row>
    <row r="351945" spans="31:32" x14ac:dyDescent="0.25">
      <c r="AE351945" s="36"/>
      <c r="AF351945" s="36"/>
    </row>
    <row r="352041" spans="31:32" x14ac:dyDescent="0.25">
      <c r="AE352041" s="34"/>
      <c r="AF352041" s="34"/>
    </row>
    <row r="352049" spans="31:32" x14ac:dyDescent="0.25">
      <c r="AE352049" s="36"/>
      <c r="AF352049" s="36"/>
    </row>
    <row r="352145" spans="31:32" x14ac:dyDescent="0.25">
      <c r="AE352145" s="34"/>
      <c r="AF352145" s="34"/>
    </row>
    <row r="352153" spans="31:32" x14ac:dyDescent="0.25">
      <c r="AE352153" s="36"/>
      <c r="AF352153" s="36"/>
    </row>
    <row r="352249" spans="31:32" x14ac:dyDescent="0.25">
      <c r="AE352249" s="34"/>
      <c r="AF352249" s="34"/>
    </row>
    <row r="352257" spans="31:32" x14ac:dyDescent="0.25">
      <c r="AE352257" s="36"/>
      <c r="AF352257" s="36"/>
    </row>
    <row r="352353" spans="31:32" x14ac:dyDescent="0.25">
      <c r="AE352353" s="34"/>
      <c r="AF352353" s="34"/>
    </row>
    <row r="352361" spans="31:32" x14ac:dyDescent="0.25">
      <c r="AE352361" s="36"/>
      <c r="AF352361" s="36"/>
    </row>
    <row r="352457" spans="31:32" x14ac:dyDescent="0.25">
      <c r="AE352457" s="34"/>
      <c r="AF352457" s="34"/>
    </row>
    <row r="352465" spans="31:32" x14ac:dyDescent="0.25">
      <c r="AE352465" s="36"/>
      <c r="AF352465" s="36"/>
    </row>
    <row r="352561" spans="31:32" x14ac:dyDescent="0.25">
      <c r="AE352561" s="34"/>
      <c r="AF352561" s="34"/>
    </row>
    <row r="352569" spans="31:32" x14ac:dyDescent="0.25">
      <c r="AE352569" s="36"/>
      <c r="AF352569" s="36"/>
    </row>
    <row r="352665" spans="31:32" x14ac:dyDescent="0.25">
      <c r="AE352665" s="34"/>
      <c r="AF352665" s="34"/>
    </row>
    <row r="352673" spans="31:32" x14ac:dyDescent="0.25">
      <c r="AE352673" s="36"/>
      <c r="AF352673" s="36"/>
    </row>
    <row r="352769" spans="31:32" x14ac:dyDescent="0.25">
      <c r="AE352769" s="34"/>
      <c r="AF352769" s="34"/>
    </row>
    <row r="352777" spans="31:32" x14ac:dyDescent="0.25">
      <c r="AE352777" s="36"/>
      <c r="AF352777" s="36"/>
    </row>
    <row r="352873" spans="31:32" x14ac:dyDescent="0.25">
      <c r="AE352873" s="34"/>
      <c r="AF352873" s="34"/>
    </row>
    <row r="352881" spans="31:32" x14ac:dyDescent="0.25">
      <c r="AE352881" s="36"/>
      <c r="AF352881" s="36"/>
    </row>
    <row r="352977" spans="31:32" x14ac:dyDescent="0.25">
      <c r="AE352977" s="34"/>
      <c r="AF352977" s="34"/>
    </row>
    <row r="352985" spans="31:32" x14ac:dyDescent="0.25">
      <c r="AE352985" s="36"/>
      <c r="AF352985" s="36"/>
    </row>
    <row r="353081" spans="31:32" x14ac:dyDescent="0.25">
      <c r="AE353081" s="34"/>
      <c r="AF353081" s="34"/>
    </row>
    <row r="353089" spans="31:32" x14ac:dyDescent="0.25">
      <c r="AE353089" s="36"/>
      <c r="AF353089" s="36"/>
    </row>
    <row r="353185" spans="31:32" x14ac:dyDescent="0.25">
      <c r="AE353185" s="34"/>
      <c r="AF353185" s="34"/>
    </row>
    <row r="353193" spans="31:32" x14ac:dyDescent="0.25">
      <c r="AE353193" s="36"/>
      <c r="AF353193" s="36"/>
    </row>
    <row r="353289" spans="31:32" x14ac:dyDescent="0.25">
      <c r="AE353289" s="34"/>
      <c r="AF353289" s="34"/>
    </row>
    <row r="353297" spans="31:32" x14ac:dyDescent="0.25">
      <c r="AE353297" s="36"/>
      <c r="AF353297" s="36"/>
    </row>
    <row r="353393" spans="31:32" x14ac:dyDescent="0.25">
      <c r="AE353393" s="34"/>
      <c r="AF353393" s="34"/>
    </row>
    <row r="353401" spans="31:32" x14ac:dyDescent="0.25">
      <c r="AE353401" s="36"/>
      <c r="AF353401" s="36"/>
    </row>
    <row r="353497" spans="31:32" x14ac:dyDescent="0.25">
      <c r="AE353497" s="34"/>
      <c r="AF353497" s="34"/>
    </row>
    <row r="353505" spans="31:32" x14ac:dyDescent="0.25">
      <c r="AE353505" s="36"/>
      <c r="AF353505" s="36"/>
    </row>
    <row r="353601" spans="31:32" x14ac:dyDescent="0.25">
      <c r="AE353601" s="34"/>
      <c r="AF353601" s="34"/>
    </row>
    <row r="353609" spans="31:32" x14ac:dyDescent="0.25">
      <c r="AE353609" s="36"/>
      <c r="AF353609" s="36"/>
    </row>
    <row r="353705" spans="31:32" x14ac:dyDescent="0.25">
      <c r="AE353705" s="34"/>
      <c r="AF353705" s="34"/>
    </row>
    <row r="353713" spans="31:32" x14ac:dyDescent="0.25">
      <c r="AE353713" s="36"/>
      <c r="AF353713" s="36"/>
    </row>
    <row r="353809" spans="31:32" x14ac:dyDescent="0.25">
      <c r="AE353809" s="34"/>
      <c r="AF353809" s="34"/>
    </row>
    <row r="353817" spans="31:32" x14ac:dyDescent="0.25">
      <c r="AE353817" s="36"/>
      <c r="AF353817" s="36"/>
    </row>
    <row r="353913" spans="31:32" x14ac:dyDescent="0.25">
      <c r="AE353913" s="34"/>
      <c r="AF353913" s="34"/>
    </row>
    <row r="353921" spans="31:32" x14ac:dyDescent="0.25">
      <c r="AE353921" s="36"/>
      <c r="AF353921" s="36"/>
    </row>
    <row r="354017" spans="31:32" x14ac:dyDescent="0.25">
      <c r="AE354017" s="34"/>
      <c r="AF354017" s="34"/>
    </row>
    <row r="354025" spans="31:32" x14ac:dyDescent="0.25">
      <c r="AE354025" s="36"/>
      <c r="AF354025" s="36"/>
    </row>
    <row r="354121" spans="31:32" x14ac:dyDescent="0.25">
      <c r="AE354121" s="34"/>
      <c r="AF354121" s="34"/>
    </row>
    <row r="354129" spans="31:32" x14ac:dyDescent="0.25">
      <c r="AE354129" s="36"/>
      <c r="AF354129" s="36"/>
    </row>
    <row r="354225" spans="31:32" x14ac:dyDescent="0.25">
      <c r="AE354225" s="34"/>
      <c r="AF354225" s="34"/>
    </row>
    <row r="354233" spans="31:32" x14ac:dyDescent="0.25">
      <c r="AE354233" s="36"/>
      <c r="AF354233" s="36"/>
    </row>
    <row r="354329" spans="31:32" x14ac:dyDescent="0.25">
      <c r="AE354329" s="34"/>
      <c r="AF354329" s="34"/>
    </row>
    <row r="354337" spans="31:32" x14ac:dyDescent="0.25">
      <c r="AE354337" s="36"/>
      <c r="AF354337" s="36"/>
    </row>
    <row r="354433" spans="31:32" x14ac:dyDescent="0.25">
      <c r="AE354433" s="34"/>
      <c r="AF354433" s="34"/>
    </row>
    <row r="354441" spans="31:32" x14ac:dyDescent="0.25">
      <c r="AE354441" s="36"/>
      <c r="AF354441" s="36"/>
    </row>
    <row r="354537" spans="31:32" x14ac:dyDescent="0.25">
      <c r="AE354537" s="34"/>
      <c r="AF354537" s="34"/>
    </row>
    <row r="354545" spans="31:32" x14ac:dyDescent="0.25">
      <c r="AE354545" s="36"/>
      <c r="AF354545" s="36"/>
    </row>
    <row r="354641" spans="31:32" x14ac:dyDescent="0.25">
      <c r="AE354641" s="34"/>
      <c r="AF354641" s="34"/>
    </row>
    <row r="354649" spans="31:32" x14ac:dyDescent="0.25">
      <c r="AE354649" s="36"/>
      <c r="AF354649" s="36"/>
    </row>
    <row r="354745" spans="31:32" x14ac:dyDescent="0.25">
      <c r="AE354745" s="34"/>
      <c r="AF354745" s="34"/>
    </row>
    <row r="354753" spans="31:32" x14ac:dyDescent="0.25">
      <c r="AE354753" s="36"/>
      <c r="AF354753" s="36"/>
    </row>
    <row r="354849" spans="31:32" x14ac:dyDescent="0.25">
      <c r="AE354849" s="34"/>
      <c r="AF354849" s="34"/>
    </row>
    <row r="354857" spans="31:32" x14ac:dyDescent="0.25">
      <c r="AE354857" s="36"/>
      <c r="AF354857" s="36"/>
    </row>
    <row r="354953" spans="31:32" x14ac:dyDescent="0.25">
      <c r="AE354953" s="34"/>
      <c r="AF354953" s="34"/>
    </row>
    <row r="354961" spans="31:32" x14ac:dyDescent="0.25">
      <c r="AE354961" s="36"/>
      <c r="AF354961" s="36"/>
    </row>
    <row r="355057" spans="31:32" x14ac:dyDescent="0.25">
      <c r="AE355057" s="34"/>
      <c r="AF355057" s="34"/>
    </row>
    <row r="355065" spans="31:32" x14ac:dyDescent="0.25">
      <c r="AE355065" s="36"/>
      <c r="AF355065" s="36"/>
    </row>
    <row r="355161" spans="31:32" x14ac:dyDescent="0.25">
      <c r="AE355161" s="34"/>
      <c r="AF355161" s="34"/>
    </row>
    <row r="355169" spans="31:32" x14ac:dyDescent="0.25">
      <c r="AE355169" s="36"/>
      <c r="AF355169" s="36"/>
    </row>
    <row r="355265" spans="31:32" x14ac:dyDescent="0.25">
      <c r="AE355265" s="34"/>
      <c r="AF355265" s="34"/>
    </row>
    <row r="355273" spans="31:32" x14ac:dyDescent="0.25">
      <c r="AE355273" s="36"/>
      <c r="AF355273" s="36"/>
    </row>
    <row r="355369" spans="31:32" x14ac:dyDescent="0.25">
      <c r="AE355369" s="34"/>
      <c r="AF355369" s="34"/>
    </row>
    <row r="355377" spans="31:32" x14ac:dyDescent="0.25">
      <c r="AE355377" s="36"/>
      <c r="AF355377" s="36"/>
    </row>
    <row r="355473" spans="31:32" x14ac:dyDescent="0.25">
      <c r="AE355473" s="34"/>
      <c r="AF355473" s="34"/>
    </row>
    <row r="355481" spans="31:32" x14ac:dyDescent="0.25">
      <c r="AE355481" s="36"/>
      <c r="AF355481" s="36"/>
    </row>
    <row r="355577" spans="31:32" x14ac:dyDescent="0.25">
      <c r="AE355577" s="34"/>
      <c r="AF355577" s="34"/>
    </row>
    <row r="355585" spans="31:32" x14ac:dyDescent="0.25">
      <c r="AE355585" s="36"/>
      <c r="AF355585" s="36"/>
    </row>
    <row r="355681" spans="31:32" x14ac:dyDescent="0.25">
      <c r="AE355681" s="34"/>
      <c r="AF355681" s="34"/>
    </row>
    <row r="355689" spans="31:32" x14ac:dyDescent="0.25">
      <c r="AE355689" s="36"/>
      <c r="AF355689" s="36"/>
    </row>
    <row r="355785" spans="31:32" x14ac:dyDescent="0.25">
      <c r="AE355785" s="34"/>
      <c r="AF355785" s="34"/>
    </row>
    <row r="355793" spans="31:32" x14ac:dyDescent="0.25">
      <c r="AE355793" s="36"/>
      <c r="AF355793" s="36"/>
    </row>
    <row r="355889" spans="31:32" x14ac:dyDescent="0.25">
      <c r="AE355889" s="34"/>
      <c r="AF355889" s="34"/>
    </row>
    <row r="355897" spans="31:32" x14ac:dyDescent="0.25">
      <c r="AE355897" s="36"/>
      <c r="AF355897" s="36"/>
    </row>
    <row r="355993" spans="31:32" x14ac:dyDescent="0.25">
      <c r="AE355993" s="34"/>
      <c r="AF355993" s="34"/>
    </row>
    <row r="356001" spans="31:32" x14ac:dyDescent="0.25">
      <c r="AE356001" s="36"/>
      <c r="AF356001" s="36"/>
    </row>
    <row r="356097" spans="31:32" x14ac:dyDescent="0.25">
      <c r="AE356097" s="34"/>
      <c r="AF356097" s="34"/>
    </row>
    <row r="356105" spans="31:32" x14ac:dyDescent="0.25">
      <c r="AE356105" s="36"/>
      <c r="AF356105" s="36"/>
    </row>
    <row r="356201" spans="31:32" x14ac:dyDescent="0.25">
      <c r="AE356201" s="34"/>
      <c r="AF356201" s="34"/>
    </row>
    <row r="356209" spans="31:32" x14ac:dyDescent="0.25">
      <c r="AE356209" s="36"/>
      <c r="AF356209" s="36"/>
    </row>
    <row r="356305" spans="31:32" x14ac:dyDescent="0.25">
      <c r="AE356305" s="34"/>
      <c r="AF356305" s="34"/>
    </row>
    <row r="356313" spans="31:32" x14ac:dyDescent="0.25">
      <c r="AE356313" s="36"/>
      <c r="AF356313" s="36"/>
    </row>
    <row r="356409" spans="31:32" x14ac:dyDescent="0.25">
      <c r="AE356409" s="34"/>
      <c r="AF356409" s="34"/>
    </row>
    <row r="356417" spans="31:32" x14ac:dyDescent="0.25">
      <c r="AE356417" s="36"/>
      <c r="AF356417" s="36"/>
    </row>
    <row r="356513" spans="31:32" x14ac:dyDescent="0.25">
      <c r="AE356513" s="34"/>
      <c r="AF356513" s="34"/>
    </row>
    <row r="356521" spans="31:32" x14ac:dyDescent="0.25">
      <c r="AE356521" s="36"/>
      <c r="AF356521" s="36"/>
    </row>
    <row r="356617" spans="31:32" x14ac:dyDescent="0.25">
      <c r="AE356617" s="34"/>
      <c r="AF356617" s="34"/>
    </row>
    <row r="356625" spans="31:32" x14ac:dyDescent="0.25">
      <c r="AE356625" s="36"/>
      <c r="AF356625" s="36"/>
    </row>
    <row r="356721" spans="31:32" x14ac:dyDescent="0.25">
      <c r="AE356721" s="34"/>
      <c r="AF356721" s="34"/>
    </row>
    <row r="356729" spans="31:32" x14ac:dyDescent="0.25">
      <c r="AE356729" s="36"/>
      <c r="AF356729" s="36"/>
    </row>
    <row r="356825" spans="31:32" x14ac:dyDescent="0.25">
      <c r="AE356825" s="34"/>
      <c r="AF356825" s="34"/>
    </row>
    <row r="356833" spans="31:32" x14ac:dyDescent="0.25">
      <c r="AE356833" s="36"/>
      <c r="AF356833" s="36"/>
    </row>
    <row r="356929" spans="31:32" x14ac:dyDescent="0.25">
      <c r="AE356929" s="34"/>
      <c r="AF356929" s="34"/>
    </row>
    <row r="356937" spans="31:32" x14ac:dyDescent="0.25">
      <c r="AE356937" s="36"/>
      <c r="AF356937" s="36"/>
    </row>
    <row r="357033" spans="31:32" x14ac:dyDescent="0.25">
      <c r="AE357033" s="34"/>
      <c r="AF357033" s="34"/>
    </row>
    <row r="357041" spans="31:32" x14ac:dyDescent="0.25">
      <c r="AE357041" s="36"/>
      <c r="AF357041" s="36"/>
    </row>
    <row r="357137" spans="31:32" x14ac:dyDescent="0.25">
      <c r="AE357137" s="34"/>
      <c r="AF357137" s="34"/>
    </row>
    <row r="357145" spans="31:32" x14ac:dyDescent="0.25">
      <c r="AE357145" s="36"/>
      <c r="AF357145" s="36"/>
    </row>
    <row r="357241" spans="31:32" x14ac:dyDescent="0.25">
      <c r="AE357241" s="34"/>
      <c r="AF357241" s="34"/>
    </row>
    <row r="357249" spans="31:32" x14ac:dyDescent="0.25">
      <c r="AE357249" s="36"/>
      <c r="AF357249" s="36"/>
    </row>
    <row r="357345" spans="31:32" x14ac:dyDescent="0.25">
      <c r="AE357345" s="34"/>
      <c r="AF357345" s="34"/>
    </row>
    <row r="357353" spans="31:32" x14ac:dyDescent="0.25">
      <c r="AE357353" s="36"/>
      <c r="AF357353" s="36"/>
    </row>
    <row r="357449" spans="31:32" x14ac:dyDescent="0.25">
      <c r="AE357449" s="34"/>
      <c r="AF357449" s="34"/>
    </row>
    <row r="357457" spans="31:32" x14ac:dyDescent="0.25">
      <c r="AE357457" s="36"/>
      <c r="AF357457" s="36"/>
    </row>
    <row r="357553" spans="31:32" x14ac:dyDescent="0.25">
      <c r="AE357553" s="34"/>
      <c r="AF357553" s="34"/>
    </row>
    <row r="357561" spans="31:32" x14ac:dyDescent="0.25">
      <c r="AE357561" s="36"/>
      <c r="AF357561" s="36"/>
    </row>
    <row r="357657" spans="31:32" x14ac:dyDescent="0.25">
      <c r="AE357657" s="34"/>
      <c r="AF357657" s="34"/>
    </row>
    <row r="357665" spans="31:32" x14ac:dyDescent="0.25">
      <c r="AE357665" s="36"/>
      <c r="AF357665" s="36"/>
    </row>
    <row r="357761" spans="31:32" x14ac:dyDescent="0.25">
      <c r="AE357761" s="34"/>
      <c r="AF357761" s="34"/>
    </row>
    <row r="357769" spans="31:32" x14ac:dyDescent="0.25">
      <c r="AE357769" s="36"/>
      <c r="AF357769" s="36"/>
    </row>
    <row r="357865" spans="31:32" x14ac:dyDescent="0.25">
      <c r="AE357865" s="34"/>
      <c r="AF357865" s="34"/>
    </row>
    <row r="357873" spans="31:32" x14ac:dyDescent="0.25">
      <c r="AE357873" s="36"/>
      <c r="AF357873" s="36"/>
    </row>
    <row r="357969" spans="31:32" x14ac:dyDescent="0.25">
      <c r="AE357969" s="34"/>
      <c r="AF357969" s="34"/>
    </row>
    <row r="357977" spans="31:32" x14ac:dyDescent="0.25">
      <c r="AE357977" s="36"/>
      <c r="AF357977" s="36"/>
    </row>
    <row r="358073" spans="31:32" x14ac:dyDescent="0.25">
      <c r="AE358073" s="34"/>
      <c r="AF358073" s="34"/>
    </row>
    <row r="358081" spans="31:32" x14ac:dyDescent="0.25">
      <c r="AE358081" s="36"/>
      <c r="AF358081" s="36"/>
    </row>
    <row r="358177" spans="31:32" x14ac:dyDescent="0.25">
      <c r="AE358177" s="34"/>
      <c r="AF358177" s="34"/>
    </row>
    <row r="358185" spans="31:32" x14ac:dyDescent="0.25">
      <c r="AE358185" s="36"/>
      <c r="AF358185" s="36"/>
    </row>
    <row r="358281" spans="31:32" x14ac:dyDescent="0.25">
      <c r="AE358281" s="34"/>
      <c r="AF358281" s="34"/>
    </row>
    <row r="358289" spans="31:32" x14ac:dyDescent="0.25">
      <c r="AE358289" s="36"/>
      <c r="AF358289" s="36"/>
    </row>
    <row r="358385" spans="31:32" x14ac:dyDescent="0.25">
      <c r="AE358385" s="34"/>
      <c r="AF358385" s="34"/>
    </row>
    <row r="358393" spans="31:32" x14ac:dyDescent="0.25">
      <c r="AE358393" s="36"/>
      <c r="AF358393" s="36"/>
    </row>
    <row r="358489" spans="31:32" x14ac:dyDescent="0.25">
      <c r="AE358489" s="34"/>
      <c r="AF358489" s="34"/>
    </row>
    <row r="358497" spans="31:32" x14ac:dyDescent="0.25">
      <c r="AE358497" s="36"/>
      <c r="AF358497" s="36"/>
    </row>
    <row r="358593" spans="31:32" x14ac:dyDescent="0.25">
      <c r="AE358593" s="34"/>
      <c r="AF358593" s="34"/>
    </row>
    <row r="358601" spans="31:32" x14ac:dyDescent="0.25">
      <c r="AE358601" s="36"/>
      <c r="AF358601" s="36"/>
    </row>
    <row r="358697" spans="31:32" x14ac:dyDescent="0.25">
      <c r="AE358697" s="34"/>
      <c r="AF358697" s="34"/>
    </row>
    <row r="358705" spans="31:32" x14ac:dyDescent="0.25">
      <c r="AE358705" s="36"/>
      <c r="AF358705" s="36"/>
    </row>
    <row r="358801" spans="31:32" x14ac:dyDescent="0.25">
      <c r="AE358801" s="34"/>
      <c r="AF358801" s="34"/>
    </row>
    <row r="358809" spans="31:32" x14ac:dyDescent="0.25">
      <c r="AE358809" s="36"/>
      <c r="AF358809" s="36"/>
    </row>
    <row r="358905" spans="31:32" x14ac:dyDescent="0.25">
      <c r="AE358905" s="34"/>
      <c r="AF358905" s="34"/>
    </row>
    <row r="358913" spans="31:32" x14ac:dyDescent="0.25">
      <c r="AE358913" s="36"/>
      <c r="AF358913" s="36"/>
    </row>
    <row r="359009" spans="31:32" x14ac:dyDescent="0.25">
      <c r="AE359009" s="34"/>
      <c r="AF359009" s="34"/>
    </row>
    <row r="359017" spans="31:32" x14ac:dyDescent="0.25">
      <c r="AE359017" s="36"/>
      <c r="AF359017" s="36"/>
    </row>
    <row r="359113" spans="31:32" x14ac:dyDescent="0.25">
      <c r="AE359113" s="34"/>
      <c r="AF359113" s="34"/>
    </row>
    <row r="359121" spans="31:32" x14ac:dyDescent="0.25">
      <c r="AE359121" s="36"/>
      <c r="AF359121" s="36"/>
    </row>
    <row r="359217" spans="31:32" x14ac:dyDescent="0.25">
      <c r="AE359217" s="34"/>
      <c r="AF359217" s="34"/>
    </row>
    <row r="359225" spans="31:32" x14ac:dyDescent="0.25">
      <c r="AE359225" s="36"/>
      <c r="AF359225" s="36"/>
    </row>
    <row r="359321" spans="31:32" x14ac:dyDescent="0.25">
      <c r="AE359321" s="34"/>
      <c r="AF359321" s="34"/>
    </row>
    <row r="359329" spans="31:32" x14ac:dyDescent="0.25">
      <c r="AE359329" s="36"/>
      <c r="AF359329" s="36"/>
    </row>
    <row r="359425" spans="31:32" x14ac:dyDescent="0.25">
      <c r="AE359425" s="34"/>
      <c r="AF359425" s="34"/>
    </row>
    <row r="359433" spans="31:32" x14ac:dyDescent="0.25">
      <c r="AE359433" s="36"/>
      <c r="AF359433" s="36"/>
    </row>
    <row r="359529" spans="31:32" x14ac:dyDescent="0.25">
      <c r="AE359529" s="34"/>
      <c r="AF359529" s="34"/>
    </row>
    <row r="359537" spans="31:32" x14ac:dyDescent="0.25">
      <c r="AE359537" s="36"/>
      <c r="AF359537" s="36"/>
    </row>
    <row r="359633" spans="31:32" x14ac:dyDescent="0.25">
      <c r="AE359633" s="34"/>
      <c r="AF359633" s="34"/>
    </row>
    <row r="359641" spans="31:32" x14ac:dyDescent="0.25">
      <c r="AE359641" s="36"/>
      <c r="AF359641" s="36"/>
    </row>
    <row r="359737" spans="31:32" x14ac:dyDescent="0.25">
      <c r="AE359737" s="34"/>
      <c r="AF359737" s="34"/>
    </row>
    <row r="359745" spans="31:32" x14ac:dyDescent="0.25">
      <c r="AE359745" s="36"/>
      <c r="AF359745" s="36"/>
    </row>
    <row r="359841" spans="31:32" x14ac:dyDescent="0.25">
      <c r="AE359841" s="34"/>
      <c r="AF359841" s="34"/>
    </row>
    <row r="359849" spans="31:32" x14ac:dyDescent="0.25">
      <c r="AE359849" s="36"/>
      <c r="AF359849" s="36"/>
    </row>
    <row r="359945" spans="31:32" x14ac:dyDescent="0.25">
      <c r="AE359945" s="34"/>
      <c r="AF359945" s="34"/>
    </row>
    <row r="359953" spans="31:32" x14ac:dyDescent="0.25">
      <c r="AE359953" s="36"/>
      <c r="AF359953" s="36"/>
    </row>
    <row r="360049" spans="31:32" x14ac:dyDescent="0.25">
      <c r="AE360049" s="34"/>
      <c r="AF360049" s="34"/>
    </row>
    <row r="360057" spans="31:32" x14ac:dyDescent="0.25">
      <c r="AE360057" s="36"/>
      <c r="AF360057" s="36"/>
    </row>
    <row r="360153" spans="31:32" x14ac:dyDescent="0.25">
      <c r="AE360153" s="34"/>
      <c r="AF360153" s="34"/>
    </row>
    <row r="360161" spans="31:32" x14ac:dyDescent="0.25">
      <c r="AE360161" s="36"/>
      <c r="AF360161" s="36"/>
    </row>
    <row r="360257" spans="31:32" x14ac:dyDescent="0.25">
      <c r="AE360257" s="34"/>
      <c r="AF360257" s="34"/>
    </row>
    <row r="360265" spans="31:32" x14ac:dyDescent="0.25">
      <c r="AE360265" s="36"/>
      <c r="AF360265" s="36"/>
    </row>
    <row r="360361" spans="31:32" x14ac:dyDescent="0.25">
      <c r="AE360361" s="34"/>
      <c r="AF360361" s="34"/>
    </row>
    <row r="360369" spans="31:32" x14ac:dyDescent="0.25">
      <c r="AE360369" s="36"/>
      <c r="AF360369" s="36"/>
    </row>
    <row r="360465" spans="31:32" x14ac:dyDescent="0.25">
      <c r="AE360465" s="34"/>
      <c r="AF360465" s="34"/>
    </row>
    <row r="360473" spans="31:32" x14ac:dyDescent="0.25">
      <c r="AE360473" s="36"/>
      <c r="AF360473" s="36"/>
    </row>
    <row r="360569" spans="31:32" x14ac:dyDescent="0.25">
      <c r="AE360569" s="34"/>
      <c r="AF360569" s="34"/>
    </row>
    <row r="360577" spans="31:32" x14ac:dyDescent="0.25">
      <c r="AE360577" s="36"/>
      <c r="AF360577" s="36"/>
    </row>
    <row r="360673" spans="31:32" x14ac:dyDescent="0.25">
      <c r="AE360673" s="34"/>
      <c r="AF360673" s="34"/>
    </row>
    <row r="360681" spans="31:32" x14ac:dyDescent="0.25">
      <c r="AE360681" s="36"/>
      <c r="AF360681" s="36"/>
    </row>
    <row r="360777" spans="31:32" x14ac:dyDescent="0.25">
      <c r="AE360777" s="34"/>
      <c r="AF360777" s="34"/>
    </row>
    <row r="360785" spans="31:32" x14ac:dyDescent="0.25">
      <c r="AE360785" s="36"/>
      <c r="AF360785" s="36"/>
    </row>
    <row r="360881" spans="31:32" x14ac:dyDescent="0.25">
      <c r="AE360881" s="34"/>
      <c r="AF360881" s="34"/>
    </row>
    <row r="360889" spans="31:32" x14ac:dyDescent="0.25">
      <c r="AE360889" s="36"/>
      <c r="AF360889" s="36"/>
    </row>
    <row r="360985" spans="31:32" x14ac:dyDescent="0.25">
      <c r="AE360985" s="34"/>
      <c r="AF360985" s="34"/>
    </row>
    <row r="360993" spans="31:32" x14ac:dyDescent="0.25">
      <c r="AE360993" s="36"/>
      <c r="AF360993" s="36"/>
    </row>
    <row r="361089" spans="31:32" x14ac:dyDescent="0.25">
      <c r="AE361089" s="34"/>
      <c r="AF361089" s="34"/>
    </row>
    <row r="361097" spans="31:32" x14ac:dyDescent="0.25">
      <c r="AE361097" s="36"/>
      <c r="AF361097" s="36"/>
    </row>
    <row r="361193" spans="31:32" x14ac:dyDescent="0.25">
      <c r="AE361193" s="34"/>
      <c r="AF361193" s="34"/>
    </row>
    <row r="361201" spans="31:32" x14ac:dyDescent="0.25">
      <c r="AE361201" s="36"/>
      <c r="AF361201" s="36"/>
    </row>
    <row r="361297" spans="31:32" x14ac:dyDescent="0.25">
      <c r="AE361297" s="34"/>
      <c r="AF361297" s="34"/>
    </row>
    <row r="361305" spans="31:32" x14ac:dyDescent="0.25">
      <c r="AE361305" s="36"/>
      <c r="AF361305" s="36"/>
    </row>
    <row r="361401" spans="31:32" x14ac:dyDescent="0.25">
      <c r="AE361401" s="34"/>
      <c r="AF361401" s="34"/>
    </row>
    <row r="361409" spans="31:32" x14ac:dyDescent="0.25">
      <c r="AE361409" s="36"/>
      <c r="AF361409" s="36"/>
    </row>
    <row r="361505" spans="31:32" x14ac:dyDescent="0.25">
      <c r="AE361505" s="34"/>
      <c r="AF361505" s="34"/>
    </row>
    <row r="361513" spans="31:32" x14ac:dyDescent="0.25">
      <c r="AE361513" s="36"/>
      <c r="AF361513" s="36"/>
    </row>
    <row r="361609" spans="31:32" x14ac:dyDescent="0.25">
      <c r="AE361609" s="34"/>
      <c r="AF361609" s="34"/>
    </row>
    <row r="361617" spans="31:32" x14ac:dyDescent="0.25">
      <c r="AE361617" s="36"/>
      <c r="AF361617" s="36"/>
    </row>
    <row r="361713" spans="31:32" x14ac:dyDescent="0.25">
      <c r="AE361713" s="34"/>
      <c r="AF361713" s="34"/>
    </row>
    <row r="361721" spans="31:32" x14ac:dyDescent="0.25">
      <c r="AE361721" s="36"/>
      <c r="AF361721" s="36"/>
    </row>
    <row r="361817" spans="31:32" x14ac:dyDescent="0.25">
      <c r="AE361817" s="34"/>
      <c r="AF361817" s="34"/>
    </row>
    <row r="361825" spans="31:32" x14ac:dyDescent="0.25">
      <c r="AE361825" s="36"/>
      <c r="AF361825" s="36"/>
    </row>
    <row r="361921" spans="31:32" x14ac:dyDescent="0.25">
      <c r="AE361921" s="34"/>
      <c r="AF361921" s="34"/>
    </row>
    <row r="361929" spans="31:32" x14ac:dyDescent="0.25">
      <c r="AE361929" s="36"/>
      <c r="AF361929" s="36"/>
    </row>
    <row r="362025" spans="31:32" x14ac:dyDescent="0.25">
      <c r="AE362025" s="34"/>
      <c r="AF362025" s="34"/>
    </row>
    <row r="362033" spans="31:32" x14ac:dyDescent="0.25">
      <c r="AE362033" s="36"/>
      <c r="AF362033" s="36"/>
    </row>
    <row r="362129" spans="31:32" x14ac:dyDescent="0.25">
      <c r="AE362129" s="34"/>
      <c r="AF362129" s="34"/>
    </row>
    <row r="362137" spans="31:32" x14ac:dyDescent="0.25">
      <c r="AE362137" s="36"/>
      <c r="AF362137" s="36"/>
    </row>
    <row r="362233" spans="31:32" x14ac:dyDescent="0.25">
      <c r="AE362233" s="34"/>
      <c r="AF362233" s="34"/>
    </row>
    <row r="362241" spans="31:32" x14ac:dyDescent="0.25">
      <c r="AE362241" s="36"/>
      <c r="AF362241" s="36"/>
    </row>
    <row r="362337" spans="31:32" x14ac:dyDescent="0.25">
      <c r="AE362337" s="34"/>
      <c r="AF362337" s="34"/>
    </row>
    <row r="362345" spans="31:32" x14ac:dyDescent="0.25">
      <c r="AE362345" s="36"/>
      <c r="AF362345" s="36"/>
    </row>
    <row r="362441" spans="31:32" x14ac:dyDescent="0.25">
      <c r="AE362441" s="34"/>
      <c r="AF362441" s="34"/>
    </row>
    <row r="362449" spans="31:32" x14ac:dyDescent="0.25">
      <c r="AE362449" s="36"/>
      <c r="AF362449" s="36"/>
    </row>
    <row r="362545" spans="31:32" x14ac:dyDescent="0.25">
      <c r="AE362545" s="34"/>
      <c r="AF362545" s="34"/>
    </row>
    <row r="362553" spans="31:32" x14ac:dyDescent="0.25">
      <c r="AE362553" s="36"/>
      <c r="AF362553" s="36"/>
    </row>
    <row r="362649" spans="31:32" x14ac:dyDescent="0.25">
      <c r="AE362649" s="34"/>
      <c r="AF362649" s="34"/>
    </row>
    <row r="362657" spans="31:32" x14ac:dyDescent="0.25">
      <c r="AE362657" s="36"/>
      <c r="AF362657" s="36"/>
    </row>
    <row r="362753" spans="31:32" x14ac:dyDescent="0.25">
      <c r="AE362753" s="34"/>
      <c r="AF362753" s="34"/>
    </row>
    <row r="362761" spans="31:32" x14ac:dyDescent="0.25">
      <c r="AE362761" s="36"/>
      <c r="AF362761" s="36"/>
    </row>
    <row r="362857" spans="31:32" x14ac:dyDescent="0.25">
      <c r="AE362857" s="34"/>
      <c r="AF362857" s="34"/>
    </row>
    <row r="362865" spans="31:32" x14ac:dyDescent="0.25">
      <c r="AE362865" s="36"/>
      <c r="AF362865" s="36"/>
    </row>
    <row r="362961" spans="31:32" x14ac:dyDescent="0.25">
      <c r="AE362961" s="34"/>
      <c r="AF362961" s="34"/>
    </row>
    <row r="362969" spans="31:32" x14ac:dyDescent="0.25">
      <c r="AE362969" s="36"/>
      <c r="AF362969" s="36"/>
    </row>
    <row r="363065" spans="31:32" x14ac:dyDescent="0.25">
      <c r="AE363065" s="34"/>
      <c r="AF363065" s="34"/>
    </row>
    <row r="363073" spans="31:32" x14ac:dyDescent="0.25">
      <c r="AE363073" s="36"/>
      <c r="AF363073" s="36"/>
    </row>
    <row r="363169" spans="31:32" x14ac:dyDescent="0.25">
      <c r="AE363169" s="34"/>
      <c r="AF363169" s="34"/>
    </row>
    <row r="363177" spans="31:32" x14ac:dyDescent="0.25">
      <c r="AE363177" s="36"/>
      <c r="AF363177" s="36"/>
    </row>
    <row r="363273" spans="31:32" x14ac:dyDescent="0.25">
      <c r="AE363273" s="34"/>
      <c r="AF363273" s="34"/>
    </row>
    <row r="363281" spans="31:32" x14ac:dyDescent="0.25">
      <c r="AE363281" s="36"/>
      <c r="AF363281" s="36"/>
    </row>
    <row r="363377" spans="31:32" x14ac:dyDescent="0.25">
      <c r="AE363377" s="34"/>
      <c r="AF363377" s="34"/>
    </row>
    <row r="363385" spans="31:32" x14ac:dyDescent="0.25">
      <c r="AE363385" s="36"/>
      <c r="AF363385" s="36"/>
    </row>
    <row r="363481" spans="31:32" x14ac:dyDescent="0.25">
      <c r="AE363481" s="34"/>
      <c r="AF363481" s="34"/>
    </row>
    <row r="363489" spans="31:32" x14ac:dyDescent="0.25">
      <c r="AE363489" s="36"/>
      <c r="AF363489" s="36"/>
    </row>
    <row r="363585" spans="31:32" x14ac:dyDescent="0.25">
      <c r="AE363585" s="34"/>
      <c r="AF363585" s="34"/>
    </row>
    <row r="363593" spans="31:32" x14ac:dyDescent="0.25">
      <c r="AE363593" s="36"/>
      <c r="AF363593" s="36"/>
    </row>
    <row r="363689" spans="31:32" x14ac:dyDescent="0.25">
      <c r="AE363689" s="34"/>
      <c r="AF363689" s="34"/>
    </row>
    <row r="363697" spans="31:32" x14ac:dyDescent="0.25">
      <c r="AE363697" s="36"/>
      <c r="AF363697" s="36"/>
    </row>
    <row r="363793" spans="31:32" x14ac:dyDescent="0.25">
      <c r="AE363793" s="34"/>
      <c r="AF363793" s="34"/>
    </row>
    <row r="363801" spans="31:32" x14ac:dyDescent="0.25">
      <c r="AE363801" s="36"/>
      <c r="AF363801" s="36"/>
    </row>
    <row r="363897" spans="31:32" x14ac:dyDescent="0.25">
      <c r="AE363897" s="34"/>
      <c r="AF363897" s="34"/>
    </row>
    <row r="363905" spans="31:32" x14ac:dyDescent="0.25">
      <c r="AE363905" s="36"/>
      <c r="AF363905" s="36"/>
    </row>
    <row r="364001" spans="31:32" x14ac:dyDescent="0.25">
      <c r="AE364001" s="34"/>
      <c r="AF364001" s="34"/>
    </row>
    <row r="364009" spans="31:32" x14ac:dyDescent="0.25">
      <c r="AE364009" s="36"/>
      <c r="AF364009" s="36"/>
    </row>
    <row r="364105" spans="31:32" x14ac:dyDescent="0.25">
      <c r="AE364105" s="34"/>
      <c r="AF364105" s="34"/>
    </row>
    <row r="364113" spans="31:32" x14ac:dyDescent="0.25">
      <c r="AE364113" s="36"/>
      <c r="AF364113" s="36"/>
    </row>
    <row r="364209" spans="31:32" x14ac:dyDescent="0.25">
      <c r="AE364209" s="34"/>
      <c r="AF364209" s="34"/>
    </row>
    <row r="364217" spans="31:32" x14ac:dyDescent="0.25">
      <c r="AE364217" s="36"/>
      <c r="AF364217" s="36"/>
    </row>
    <row r="364313" spans="31:32" x14ac:dyDescent="0.25">
      <c r="AE364313" s="34"/>
      <c r="AF364313" s="34"/>
    </row>
    <row r="364321" spans="31:32" x14ac:dyDescent="0.25">
      <c r="AE364321" s="36"/>
      <c r="AF364321" s="36"/>
    </row>
    <row r="364417" spans="31:32" x14ac:dyDescent="0.25">
      <c r="AE364417" s="34"/>
      <c r="AF364417" s="34"/>
    </row>
    <row r="364425" spans="31:32" x14ac:dyDescent="0.25">
      <c r="AE364425" s="36"/>
      <c r="AF364425" s="36"/>
    </row>
    <row r="364521" spans="31:32" x14ac:dyDescent="0.25">
      <c r="AE364521" s="34"/>
      <c r="AF364521" s="34"/>
    </row>
    <row r="364529" spans="31:32" x14ac:dyDescent="0.25">
      <c r="AE364529" s="36"/>
      <c r="AF364529" s="36"/>
    </row>
    <row r="364625" spans="31:32" x14ac:dyDescent="0.25">
      <c r="AE364625" s="34"/>
      <c r="AF364625" s="34"/>
    </row>
    <row r="364633" spans="31:32" x14ac:dyDescent="0.25">
      <c r="AE364633" s="36"/>
      <c r="AF364633" s="36"/>
    </row>
    <row r="364729" spans="31:32" x14ac:dyDescent="0.25">
      <c r="AE364729" s="34"/>
      <c r="AF364729" s="34"/>
    </row>
    <row r="364737" spans="31:32" x14ac:dyDescent="0.25">
      <c r="AE364737" s="36"/>
      <c r="AF364737" s="36"/>
    </row>
    <row r="364833" spans="31:32" x14ac:dyDescent="0.25">
      <c r="AE364833" s="34"/>
      <c r="AF364833" s="34"/>
    </row>
    <row r="364841" spans="31:32" x14ac:dyDescent="0.25">
      <c r="AE364841" s="36"/>
      <c r="AF364841" s="36"/>
    </row>
    <row r="364937" spans="31:32" x14ac:dyDescent="0.25">
      <c r="AE364937" s="34"/>
      <c r="AF364937" s="34"/>
    </row>
    <row r="364945" spans="31:32" x14ac:dyDescent="0.25">
      <c r="AE364945" s="36"/>
      <c r="AF364945" s="36"/>
    </row>
    <row r="365041" spans="31:32" x14ac:dyDescent="0.25">
      <c r="AE365041" s="34"/>
      <c r="AF365041" s="34"/>
    </row>
    <row r="365049" spans="31:32" x14ac:dyDescent="0.25">
      <c r="AE365049" s="36"/>
      <c r="AF365049" s="36"/>
    </row>
    <row r="365145" spans="31:32" x14ac:dyDescent="0.25">
      <c r="AE365145" s="34"/>
      <c r="AF365145" s="34"/>
    </row>
    <row r="365153" spans="31:32" x14ac:dyDescent="0.25">
      <c r="AE365153" s="36"/>
      <c r="AF365153" s="36"/>
    </row>
    <row r="365249" spans="31:32" x14ac:dyDescent="0.25">
      <c r="AE365249" s="34"/>
      <c r="AF365249" s="34"/>
    </row>
    <row r="365257" spans="31:32" x14ac:dyDescent="0.25">
      <c r="AE365257" s="36"/>
      <c r="AF365257" s="36"/>
    </row>
    <row r="365353" spans="31:32" x14ac:dyDescent="0.25">
      <c r="AE365353" s="34"/>
      <c r="AF365353" s="34"/>
    </row>
    <row r="365361" spans="31:32" x14ac:dyDescent="0.25">
      <c r="AE365361" s="36"/>
      <c r="AF365361" s="36"/>
    </row>
    <row r="365457" spans="31:32" x14ac:dyDescent="0.25">
      <c r="AE365457" s="34"/>
      <c r="AF365457" s="34"/>
    </row>
    <row r="365465" spans="31:32" x14ac:dyDescent="0.25">
      <c r="AE365465" s="36"/>
      <c r="AF365465" s="36"/>
    </row>
    <row r="365561" spans="31:32" x14ac:dyDescent="0.25">
      <c r="AE365561" s="34"/>
      <c r="AF365561" s="34"/>
    </row>
    <row r="365569" spans="31:32" x14ac:dyDescent="0.25">
      <c r="AE365569" s="36"/>
      <c r="AF365569" s="36"/>
    </row>
    <row r="365665" spans="31:32" x14ac:dyDescent="0.25">
      <c r="AE365665" s="34"/>
      <c r="AF365665" s="34"/>
    </row>
    <row r="365673" spans="31:32" x14ac:dyDescent="0.25">
      <c r="AE365673" s="36"/>
      <c r="AF365673" s="36"/>
    </row>
    <row r="365769" spans="31:32" x14ac:dyDescent="0.25">
      <c r="AE365769" s="34"/>
      <c r="AF365769" s="34"/>
    </row>
    <row r="365777" spans="31:32" x14ac:dyDescent="0.25">
      <c r="AE365777" s="36"/>
      <c r="AF365777" s="36"/>
    </row>
    <row r="365873" spans="31:32" x14ac:dyDescent="0.25">
      <c r="AE365873" s="34"/>
      <c r="AF365873" s="34"/>
    </row>
    <row r="365881" spans="31:32" x14ac:dyDescent="0.25">
      <c r="AE365881" s="36"/>
      <c r="AF365881" s="36"/>
    </row>
    <row r="365977" spans="31:32" x14ac:dyDescent="0.25">
      <c r="AE365977" s="34"/>
      <c r="AF365977" s="34"/>
    </row>
    <row r="365985" spans="31:32" x14ac:dyDescent="0.25">
      <c r="AE365985" s="36"/>
      <c r="AF365985" s="36"/>
    </row>
    <row r="366081" spans="31:32" x14ac:dyDescent="0.25">
      <c r="AE366081" s="34"/>
      <c r="AF366081" s="34"/>
    </row>
    <row r="366089" spans="31:32" x14ac:dyDescent="0.25">
      <c r="AE366089" s="36"/>
      <c r="AF366089" s="36"/>
    </row>
    <row r="366185" spans="31:32" x14ac:dyDescent="0.25">
      <c r="AE366185" s="34"/>
      <c r="AF366185" s="34"/>
    </row>
    <row r="366193" spans="31:32" x14ac:dyDescent="0.25">
      <c r="AE366193" s="36"/>
      <c r="AF366193" s="36"/>
    </row>
    <row r="366289" spans="31:32" x14ac:dyDescent="0.25">
      <c r="AE366289" s="34"/>
      <c r="AF366289" s="34"/>
    </row>
    <row r="366297" spans="31:32" x14ac:dyDescent="0.25">
      <c r="AE366297" s="36"/>
      <c r="AF366297" s="36"/>
    </row>
    <row r="366393" spans="31:32" x14ac:dyDescent="0.25">
      <c r="AE366393" s="34"/>
      <c r="AF366393" s="34"/>
    </row>
    <row r="366401" spans="31:32" x14ac:dyDescent="0.25">
      <c r="AE366401" s="36"/>
      <c r="AF366401" s="36"/>
    </row>
    <row r="366497" spans="31:32" x14ac:dyDescent="0.25">
      <c r="AE366497" s="34"/>
      <c r="AF366497" s="34"/>
    </row>
    <row r="366505" spans="31:32" x14ac:dyDescent="0.25">
      <c r="AE366505" s="36"/>
      <c r="AF366505" s="36"/>
    </row>
    <row r="366601" spans="31:32" x14ac:dyDescent="0.25">
      <c r="AE366601" s="34"/>
      <c r="AF366601" s="34"/>
    </row>
    <row r="366609" spans="31:32" x14ac:dyDescent="0.25">
      <c r="AE366609" s="36"/>
      <c r="AF366609" s="36"/>
    </row>
    <row r="366705" spans="31:32" x14ac:dyDescent="0.25">
      <c r="AE366705" s="34"/>
      <c r="AF366705" s="34"/>
    </row>
    <row r="366713" spans="31:32" x14ac:dyDescent="0.25">
      <c r="AE366713" s="36"/>
      <c r="AF366713" s="36"/>
    </row>
    <row r="366809" spans="31:32" x14ac:dyDescent="0.25">
      <c r="AE366809" s="34"/>
      <c r="AF366809" s="34"/>
    </row>
    <row r="366817" spans="31:32" x14ac:dyDescent="0.25">
      <c r="AE366817" s="36"/>
      <c r="AF366817" s="36"/>
    </row>
    <row r="366913" spans="31:32" x14ac:dyDescent="0.25">
      <c r="AE366913" s="34"/>
      <c r="AF366913" s="34"/>
    </row>
    <row r="366921" spans="31:32" x14ac:dyDescent="0.25">
      <c r="AE366921" s="36"/>
      <c r="AF366921" s="36"/>
    </row>
    <row r="367017" spans="31:32" x14ac:dyDescent="0.25">
      <c r="AE367017" s="34"/>
      <c r="AF367017" s="34"/>
    </row>
    <row r="367025" spans="31:32" x14ac:dyDescent="0.25">
      <c r="AE367025" s="36"/>
      <c r="AF367025" s="36"/>
    </row>
    <row r="367121" spans="31:32" x14ac:dyDescent="0.25">
      <c r="AE367121" s="34"/>
      <c r="AF367121" s="34"/>
    </row>
    <row r="367129" spans="31:32" x14ac:dyDescent="0.25">
      <c r="AE367129" s="36"/>
      <c r="AF367129" s="36"/>
    </row>
    <row r="367225" spans="31:32" x14ac:dyDescent="0.25">
      <c r="AE367225" s="34"/>
      <c r="AF367225" s="34"/>
    </row>
    <row r="367233" spans="31:32" x14ac:dyDescent="0.25">
      <c r="AE367233" s="36"/>
      <c r="AF367233" s="36"/>
    </row>
    <row r="367329" spans="31:32" x14ac:dyDescent="0.25">
      <c r="AE367329" s="34"/>
      <c r="AF367329" s="34"/>
    </row>
    <row r="367337" spans="31:32" x14ac:dyDescent="0.25">
      <c r="AE367337" s="36"/>
      <c r="AF367337" s="36"/>
    </row>
    <row r="367433" spans="31:32" x14ac:dyDescent="0.25">
      <c r="AE367433" s="34"/>
      <c r="AF367433" s="34"/>
    </row>
    <row r="367441" spans="31:32" x14ac:dyDescent="0.25">
      <c r="AE367441" s="36"/>
      <c r="AF367441" s="36"/>
    </row>
    <row r="367537" spans="31:32" x14ac:dyDescent="0.25">
      <c r="AE367537" s="34"/>
      <c r="AF367537" s="34"/>
    </row>
    <row r="367545" spans="31:32" x14ac:dyDescent="0.25">
      <c r="AE367545" s="36"/>
      <c r="AF367545" s="36"/>
    </row>
    <row r="367641" spans="31:32" x14ac:dyDescent="0.25">
      <c r="AE367641" s="34"/>
      <c r="AF367641" s="34"/>
    </row>
    <row r="367649" spans="31:32" x14ac:dyDescent="0.25">
      <c r="AE367649" s="36"/>
      <c r="AF367649" s="36"/>
    </row>
    <row r="367745" spans="31:32" x14ac:dyDescent="0.25">
      <c r="AE367745" s="34"/>
      <c r="AF367745" s="34"/>
    </row>
    <row r="367753" spans="31:32" x14ac:dyDescent="0.25">
      <c r="AE367753" s="36"/>
      <c r="AF367753" s="36"/>
    </row>
    <row r="367849" spans="31:32" x14ac:dyDescent="0.25">
      <c r="AE367849" s="34"/>
      <c r="AF367849" s="34"/>
    </row>
    <row r="367857" spans="31:32" x14ac:dyDescent="0.25">
      <c r="AE367857" s="36"/>
      <c r="AF367857" s="36"/>
    </row>
    <row r="367953" spans="31:32" x14ac:dyDescent="0.25">
      <c r="AE367953" s="34"/>
      <c r="AF367953" s="34"/>
    </row>
    <row r="367961" spans="31:32" x14ac:dyDescent="0.25">
      <c r="AE367961" s="36"/>
      <c r="AF367961" s="36"/>
    </row>
    <row r="368057" spans="31:32" x14ac:dyDescent="0.25">
      <c r="AE368057" s="34"/>
      <c r="AF368057" s="34"/>
    </row>
    <row r="368065" spans="31:32" x14ac:dyDescent="0.25">
      <c r="AE368065" s="36"/>
      <c r="AF368065" s="36"/>
    </row>
    <row r="368161" spans="31:32" x14ac:dyDescent="0.25">
      <c r="AE368161" s="34"/>
      <c r="AF368161" s="34"/>
    </row>
    <row r="368169" spans="31:32" x14ac:dyDescent="0.25">
      <c r="AE368169" s="36"/>
      <c r="AF368169" s="36"/>
    </row>
    <row r="368265" spans="31:32" x14ac:dyDescent="0.25">
      <c r="AE368265" s="34"/>
      <c r="AF368265" s="34"/>
    </row>
    <row r="368273" spans="31:32" x14ac:dyDescent="0.25">
      <c r="AE368273" s="36"/>
      <c r="AF368273" s="36"/>
    </row>
    <row r="368369" spans="31:32" x14ac:dyDescent="0.25">
      <c r="AE368369" s="34"/>
      <c r="AF368369" s="34"/>
    </row>
    <row r="368377" spans="31:32" x14ac:dyDescent="0.25">
      <c r="AE368377" s="36"/>
      <c r="AF368377" s="36"/>
    </row>
    <row r="368473" spans="31:32" x14ac:dyDescent="0.25">
      <c r="AE368473" s="34"/>
      <c r="AF368473" s="34"/>
    </row>
    <row r="368481" spans="31:32" x14ac:dyDescent="0.25">
      <c r="AE368481" s="36"/>
      <c r="AF368481" s="36"/>
    </row>
    <row r="368577" spans="31:32" x14ac:dyDescent="0.25">
      <c r="AE368577" s="34"/>
      <c r="AF368577" s="34"/>
    </row>
    <row r="368585" spans="31:32" x14ac:dyDescent="0.25">
      <c r="AE368585" s="36"/>
      <c r="AF368585" s="36"/>
    </row>
    <row r="368681" spans="31:32" x14ac:dyDescent="0.25">
      <c r="AE368681" s="34"/>
      <c r="AF368681" s="34"/>
    </row>
    <row r="368689" spans="31:32" x14ac:dyDescent="0.25">
      <c r="AE368689" s="36"/>
      <c r="AF368689" s="36"/>
    </row>
    <row r="368785" spans="31:32" x14ac:dyDescent="0.25">
      <c r="AE368785" s="34"/>
      <c r="AF368785" s="34"/>
    </row>
    <row r="368793" spans="31:32" x14ac:dyDescent="0.25">
      <c r="AE368793" s="36"/>
      <c r="AF368793" s="36"/>
    </row>
    <row r="368889" spans="31:32" x14ac:dyDescent="0.25">
      <c r="AE368889" s="34"/>
      <c r="AF368889" s="34"/>
    </row>
    <row r="368897" spans="31:32" x14ac:dyDescent="0.25">
      <c r="AE368897" s="36"/>
      <c r="AF368897" s="36"/>
    </row>
    <row r="368993" spans="31:32" x14ac:dyDescent="0.25">
      <c r="AE368993" s="34"/>
      <c r="AF368993" s="34"/>
    </row>
    <row r="369001" spans="31:32" x14ac:dyDescent="0.25">
      <c r="AE369001" s="36"/>
      <c r="AF369001" s="36"/>
    </row>
    <row r="369097" spans="31:32" x14ac:dyDescent="0.25">
      <c r="AE369097" s="34"/>
      <c r="AF369097" s="34"/>
    </row>
    <row r="369105" spans="31:32" x14ac:dyDescent="0.25">
      <c r="AE369105" s="36"/>
      <c r="AF369105" s="36"/>
    </row>
    <row r="369201" spans="31:32" x14ac:dyDescent="0.25">
      <c r="AE369201" s="34"/>
      <c r="AF369201" s="34"/>
    </row>
    <row r="369209" spans="31:32" x14ac:dyDescent="0.25">
      <c r="AE369209" s="36"/>
      <c r="AF369209" s="36"/>
    </row>
    <row r="369305" spans="31:32" x14ac:dyDescent="0.25">
      <c r="AE369305" s="34"/>
      <c r="AF369305" s="34"/>
    </row>
    <row r="369313" spans="31:32" x14ac:dyDescent="0.25">
      <c r="AE369313" s="36"/>
      <c r="AF369313" s="36"/>
    </row>
    <row r="369409" spans="31:32" x14ac:dyDescent="0.25">
      <c r="AE369409" s="34"/>
      <c r="AF369409" s="34"/>
    </row>
    <row r="369417" spans="31:32" x14ac:dyDescent="0.25">
      <c r="AE369417" s="36"/>
      <c r="AF369417" s="36"/>
    </row>
    <row r="369513" spans="31:32" x14ac:dyDescent="0.25">
      <c r="AE369513" s="34"/>
      <c r="AF369513" s="34"/>
    </row>
    <row r="369521" spans="31:32" x14ac:dyDescent="0.25">
      <c r="AE369521" s="36"/>
      <c r="AF369521" s="36"/>
    </row>
    <row r="369617" spans="31:32" x14ac:dyDescent="0.25">
      <c r="AE369617" s="34"/>
      <c r="AF369617" s="34"/>
    </row>
    <row r="369625" spans="31:32" x14ac:dyDescent="0.25">
      <c r="AE369625" s="36"/>
      <c r="AF369625" s="36"/>
    </row>
    <row r="369721" spans="31:32" x14ac:dyDescent="0.25">
      <c r="AE369721" s="34"/>
      <c r="AF369721" s="34"/>
    </row>
    <row r="369729" spans="31:32" x14ac:dyDescent="0.25">
      <c r="AE369729" s="36"/>
      <c r="AF369729" s="36"/>
    </row>
    <row r="369825" spans="31:32" x14ac:dyDescent="0.25">
      <c r="AE369825" s="34"/>
      <c r="AF369825" s="34"/>
    </row>
    <row r="369833" spans="31:32" x14ac:dyDescent="0.25">
      <c r="AE369833" s="36"/>
      <c r="AF369833" s="36"/>
    </row>
    <row r="369929" spans="31:32" x14ac:dyDescent="0.25">
      <c r="AE369929" s="34"/>
      <c r="AF369929" s="34"/>
    </row>
    <row r="369937" spans="31:32" x14ac:dyDescent="0.25">
      <c r="AE369937" s="36"/>
      <c r="AF369937" s="36"/>
    </row>
    <row r="370033" spans="31:32" x14ac:dyDescent="0.25">
      <c r="AE370033" s="34"/>
      <c r="AF370033" s="34"/>
    </row>
    <row r="370041" spans="31:32" x14ac:dyDescent="0.25">
      <c r="AE370041" s="36"/>
      <c r="AF370041" s="36"/>
    </row>
    <row r="370137" spans="31:32" x14ac:dyDescent="0.25">
      <c r="AE370137" s="34"/>
      <c r="AF370137" s="34"/>
    </row>
    <row r="370145" spans="31:32" x14ac:dyDescent="0.25">
      <c r="AE370145" s="36"/>
      <c r="AF370145" s="36"/>
    </row>
    <row r="370241" spans="31:32" x14ac:dyDescent="0.25">
      <c r="AE370241" s="34"/>
      <c r="AF370241" s="34"/>
    </row>
    <row r="370249" spans="31:32" x14ac:dyDescent="0.25">
      <c r="AE370249" s="36"/>
      <c r="AF370249" s="36"/>
    </row>
    <row r="370345" spans="31:32" x14ac:dyDescent="0.25">
      <c r="AE370345" s="34"/>
      <c r="AF370345" s="34"/>
    </row>
    <row r="370353" spans="31:32" x14ac:dyDescent="0.25">
      <c r="AE370353" s="36"/>
      <c r="AF370353" s="36"/>
    </row>
    <row r="370449" spans="31:32" x14ac:dyDescent="0.25">
      <c r="AE370449" s="34"/>
      <c r="AF370449" s="34"/>
    </row>
    <row r="370457" spans="31:32" x14ac:dyDescent="0.25">
      <c r="AE370457" s="36"/>
      <c r="AF370457" s="36"/>
    </row>
    <row r="370553" spans="31:32" x14ac:dyDescent="0.25">
      <c r="AE370553" s="34"/>
      <c r="AF370553" s="34"/>
    </row>
    <row r="370561" spans="31:32" x14ac:dyDescent="0.25">
      <c r="AE370561" s="36"/>
      <c r="AF370561" s="36"/>
    </row>
    <row r="370657" spans="31:32" x14ac:dyDescent="0.25">
      <c r="AE370657" s="34"/>
      <c r="AF370657" s="34"/>
    </row>
    <row r="370665" spans="31:32" x14ac:dyDescent="0.25">
      <c r="AE370665" s="36"/>
      <c r="AF370665" s="36"/>
    </row>
    <row r="370761" spans="31:32" x14ac:dyDescent="0.25">
      <c r="AE370761" s="34"/>
      <c r="AF370761" s="34"/>
    </row>
    <row r="370769" spans="31:32" x14ac:dyDescent="0.25">
      <c r="AE370769" s="36"/>
      <c r="AF370769" s="36"/>
    </row>
    <row r="370865" spans="31:32" x14ac:dyDescent="0.25">
      <c r="AE370865" s="34"/>
      <c r="AF370865" s="34"/>
    </row>
    <row r="370873" spans="31:32" x14ac:dyDescent="0.25">
      <c r="AE370873" s="36"/>
      <c r="AF370873" s="36"/>
    </row>
    <row r="370969" spans="31:32" x14ac:dyDescent="0.25">
      <c r="AE370969" s="34"/>
      <c r="AF370969" s="34"/>
    </row>
    <row r="370977" spans="31:32" x14ac:dyDescent="0.25">
      <c r="AE370977" s="36"/>
      <c r="AF370977" s="36"/>
    </row>
    <row r="371073" spans="31:32" x14ac:dyDescent="0.25">
      <c r="AE371073" s="34"/>
      <c r="AF371073" s="34"/>
    </row>
    <row r="371081" spans="31:32" x14ac:dyDescent="0.25">
      <c r="AE371081" s="36"/>
      <c r="AF371081" s="36"/>
    </row>
    <row r="371177" spans="31:32" x14ac:dyDescent="0.25">
      <c r="AE371177" s="34"/>
      <c r="AF371177" s="34"/>
    </row>
    <row r="371185" spans="31:32" x14ac:dyDescent="0.25">
      <c r="AE371185" s="36"/>
      <c r="AF371185" s="36"/>
    </row>
    <row r="371281" spans="31:32" x14ac:dyDescent="0.25">
      <c r="AE371281" s="34"/>
      <c r="AF371281" s="34"/>
    </row>
    <row r="371289" spans="31:32" x14ac:dyDescent="0.25">
      <c r="AE371289" s="36"/>
      <c r="AF371289" s="36"/>
    </row>
    <row r="371385" spans="31:32" x14ac:dyDescent="0.25">
      <c r="AE371385" s="34"/>
      <c r="AF371385" s="34"/>
    </row>
    <row r="371393" spans="31:32" x14ac:dyDescent="0.25">
      <c r="AE371393" s="36"/>
      <c r="AF371393" s="36"/>
    </row>
    <row r="371489" spans="31:32" x14ac:dyDescent="0.25">
      <c r="AE371489" s="34"/>
      <c r="AF371489" s="34"/>
    </row>
    <row r="371497" spans="31:32" x14ac:dyDescent="0.25">
      <c r="AE371497" s="36"/>
      <c r="AF371497" s="36"/>
    </row>
    <row r="371593" spans="31:32" x14ac:dyDescent="0.25">
      <c r="AE371593" s="34"/>
      <c r="AF371593" s="34"/>
    </row>
    <row r="371601" spans="31:32" x14ac:dyDescent="0.25">
      <c r="AE371601" s="36"/>
      <c r="AF371601" s="36"/>
    </row>
    <row r="371697" spans="31:32" x14ac:dyDescent="0.25">
      <c r="AE371697" s="34"/>
      <c r="AF371697" s="34"/>
    </row>
    <row r="371705" spans="31:32" x14ac:dyDescent="0.25">
      <c r="AE371705" s="36"/>
      <c r="AF371705" s="36"/>
    </row>
    <row r="371801" spans="31:32" x14ac:dyDescent="0.25">
      <c r="AE371801" s="34"/>
      <c r="AF371801" s="34"/>
    </row>
    <row r="371809" spans="31:32" x14ac:dyDescent="0.25">
      <c r="AE371809" s="36"/>
      <c r="AF371809" s="36"/>
    </row>
    <row r="371905" spans="31:32" x14ac:dyDescent="0.25">
      <c r="AE371905" s="34"/>
      <c r="AF371905" s="34"/>
    </row>
    <row r="371913" spans="31:32" x14ac:dyDescent="0.25">
      <c r="AE371913" s="36"/>
      <c r="AF371913" s="36"/>
    </row>
    <row r="372009" spans="31:32" x14ac:dyDescent="0.25">
      <c r="AE372009" s="34"/>
      <c r="AF372009" s="34"/>
    </row>
    <row r="372017" spans="31:32" x14ac:dyDescent="0.25">
      <c r="AE372017" s="36"/>
      <c r="AF372017" s="36"/>
    </row>
    <row r="372113" spans="31:32" x14ac:dyDescent="0.25">
      <c r="AE372113" s="34"/>
      <c r="AF372113" s="34"/>
    </row>
    <row r="372121" spans="31:32" x14ac:dyDescent="0.25">
      <c r="AE372121" s="36"/>
      <c r="AF372121" s="36"/>
    </row>
    <row r="372217" spans="31:32" x14ac:dyDescent="0.25">
      <c r="AE372217" s="34"/>
      <c r="AF372217" s="34"/>
    </row>
    <row r="372225" spans="31:32" x14ac:dyDescent="0.25">
      <c r="AE372225" s="36"/>
      <c r="AF372225" s="36"/>
    </row>
    <row r="372321" spans="31:32" x14ac:dyDescent="0.25">
      <c r="AE372321" s="34"/>
      <c r="AF372321" s="34"/>
    </row>
    <row r="372329" spans="31:32" x14ac:dyDescent="0.25">
      <c r="AE372329" s="36"/>
      <c r="AF372329" s="36"/>
    </row>
    <row r="372425" spans="31:32" x14ac:dyDescent="0.25">
      <c r="AE372425" s="34"/>
      <c r="AF372425" s="34"/>
    </row>
    <row r="372433" spans="31:32" x14ac:dyDescent="0.25">
      <c r="AE372433" s="36"/>
      <c r="AF372433" s="36"/>
    </row>
    <row r="372529" spans="31:32" x14ac:dyDescent="0.25">
      <c r="AE372529" s="34"/>
      <c r="AF372529" s="34"/>
    </row>
    <row r="372537" spans="31:32" x14ac:dyDescent="0.25">
      <c r="AE372537" s="36"/>
      <c r="AF372537" s="36"/>
    </row>
    <row r="372633" spans="31:32" x14ac:dyDescent="0.25">
      <c r="AE372633" s="34"/>
      <c r="AF372633" s="34"/>
    </row>
    <row r="372641" spans="31:32" x14ac:dyDescent="0.25">
      <c r="AE372641" s="36"/>
      <c r="AF372641" s="36"/>
    </row>
    <row r="372737" spans="31:32" x14ac:dyDescent="0.25">
      <c r="AE372737" s="34"/>
      <c r="AF372737" s="34"/>
    </row>
    <row r="372745" spans="31:32" x14ac:dyDescent="0.25">
      <c r="AE372745" s="36"/>
      <c r="AF372745" s="36"/>
    </row>
    <row r="372841" spans="31:32" x14ac:dyDescent="0.25">
      <c r="AE372841" s="34"/>
      <c r="AF372841" s="34"/>
    </row>
    <row r="372849" spans="31:32" x14ac:dyDescent="0.25">
      <c r="AE372849" s="36"/>
      <c r="AF372849" s="36"/>
    </row>
    <row r="372945" spans="31:32" x14ac:dyDescent="0.25">
      <c r="AE372945" s="34"/>
      <c r="AF372945" s="34"/>
    </row>
    <row r="372953" spans="31:32" x14ac:dyDescent="0.25">
      <c r="AE372953" s="36"/>
      <c r="AF372953" s="36"/>
    </row>
    <row r="373049" spans="31:32" x14ac:dyDescent="0.25">
      <c r="AE373049" s="34"/>
      <c r="AF373049" s="34"/>
    </row>
    <row r="373057" spans="31:32" x14ac:dyDescent="0.25">
      <c r="AE373057" s="36"/>
      <c r="AF373057" s="36"/>
    </row>
    <row r="373153" spans="31:32" x14ac:dyDescent="0.25">
      <c r="AE373153" s="34"/>
      <c r="AF373153" s="34"/>
    </row>
    <row r="373161" spans="31:32" x14ac:dyDescent="0.25">
      <c r="AE373161" s="36"/>
      <c r="AF373161" s="36"/>
    </row>
    <row r="373257" spans="31:32" x14ac:dyDescent="0.25">
      <c r="AE373257" s="34"/>
      <c r="AF373257" s="34"/>
    </row>
    <row r="373265" spans="31:32" x14ac:dyDescent="0.25">
      <c r="AE373265" s="36"/>
      <c r="AF373265" s="36"/>
    </row>
    <row r="373361" spans="31:32" x14ac:dyDescent="0.25">
      <c r="AE373361" s="34"/>
      <c r="AF373361" s="34"/>
    </row>
    <row r="373369" spans="31:32" x14ac:dyDescent="0.25">
      <c r="AE373369" s="36"/>
      <c r="AF373369" s="36"/>
    </row>
    <row r="373465" spans="31:32" x14ac:dyDescent="0.25">
      <c r="AE373465" s="34"/>
      <c r="AF373465" s="34"/>
    </row>
    <row r="373473" spans="31:32" x14ac:dyDescent="0.25">
      <c r="AE373473" s="36"/>
      <c r="AF373473" s="36"/>
    </row>
    <row r="373569" spans="31:32" x14ac:dyDescent="0.25">
      <c r="AE373569" s="34"/>
      <c r="AF373569" s="34"/>
    </row>
    <row r="373577" spans="31:32" x14ac:dyDescent="0.25">
      <c r="AE373577" s="36"/>
      <c r="AF373577" s="36"/>
    </row>
    <row r="373673" spans="31:32" x14ac:dyDescent="0.25">
      <c r="AE373673" s="34"/>
      <c r="AF373673" s="34"/>
    </row>
    <row r="373681" spans="31:32" x14ac:dyDescent="0.25">
      <c r="AE373681" s="36"/>
      <c r="AF373681" s="36"/>
    </row>
    <row r="373777" spans="31:32" x14ac:dyDescent="0.25">
      <c r="AE373777" s="34"/>
      <c r="AF373777" s="34"/>
    </row>
    <row r="373785" spans="31:32" x14ac:dyDescent="0.25">
      <c r="AE373785" s="36"/>
      <c r="AF373785" s="36"/>
    </row>
    <row r="373881" spans="31:32" x14ac:dyDescent="0.25">
      <c r="AE373881" s="34"/>
      <c r="AF373881" s="34"/>
    </row>
    <row r="373889" spans="31:32" x14ac:dyDescent="0.25">
      <c r="AE373889" s="36"/>
      <c r="AF373889" s="36"/>
    </row>
    <row r="373985" spans="31:32" x14ac:dyDescent="0.25">
      <c r="AE373985" s="34"/>
      <c r="AF373985" s="34"/>
    </row>
    <row r="373993" spans="31:32" x14ac:dyDescent="0.25">
      <c r="AE373993" s="36"/>
      <c r="AF373993" s="36"/>
    </row>
    <row r="374089" spans="31:32" x14ac:dyDescent="0.25">
      <c r="AE374089" s="34"/>
      <c r="AF374089" s="34"/>
    </row>
    <row r="374097" spans="31:32" x14ac:dyDescent="0.25">
      <c r="AE374097" s="36"/>
      <c r="AF374097" s="36"/>
    </row>
    <row r="374193" spans="31:32" x14ac:dyDescent="0.25">
      <c r="AE374193" s="34"/>
      <c r="AF374193" s="34"/>
    </row>
    <row r="374201" spans="31:32" x14ac:dyDescent="0.25">
      <c r="AE374201" s="36"/>
      <c r="AF374201" s="36"/>
    </row>
    <row r="374297" spans="31:32" x14ac:dyDescent="0.25">
      <c r="AE374297" s="34"/>
      <c r="AF374297" s="34"/>
    </row>
    <row r="374305" spans="31:32" x14ac:dyDescent="0.25">
      <c r="AE374305" s="36"/>
      <c r="AF374305" s="36"/>
    </row>
    <row r="374401" spans="31:32" x14ac:dyDescent="0.25">
      <c r="AE374401" s="34"/>
      <c r="AF374401" s="34"/>
    </row>
    <row r="374409" spans="31:32" x14ac:dyDescent="0.25">
      <c r="AE374409" s="36"/>
      <c r="AF374409" s="36"/>
    </row>
    <row r="374505" spans="31:32" x14ac:dyDescent="0.25">
      <c r="AE374505" s="34"/>
      <c r="AF374505" s="34"/>
    </row>
    <row r="374513" spans="31:32" x14ac:dyDescent="0.25">
      <c r="AE374513" s="36"/>
      <c r="AF374513" s="36"/>
    </row>
    <row r="374609" spans="31:32" x14ac:dyDescent="0.25">
      <c r="AE374609" s="34"/>
      <c r="AF374609" s="34"/>
    </row>
    <row r="374617" spans="31:32" x14ac:dyDescent="0.25">
      <c r="AE374617" s="36"/>
      <c r="AF374617" s="36"/>
    </row>
    <row r="374713" spans="31:32" x14ac:dyDescent="0.25">
      <c r="AE374713" s="34"/>
      <c r="AF374713" s="34"/>
    </row>
    <row r="374721" spans="31:32" x14ac:dyDescent="0.25">
      <c r="AE374721" s="36"/>
      <c r="AF374721" s="36"/>
    </row>
    <row r="374817" spans="31:32" x14ac:dyDescent="0.25">
      <c r="AE374817" s="34"/>
      <c r="AF374817" s="34"/>
    </row>
    <row r="374825" spans="31:32" x14ac:dyDescent="0.25">
      <c r="AE374825" s="36"/>
      <c r="AF374825" s="36"/>
    </row>
    <row r="374921" spans="31:32" x14ac:dyDescent="0.25">
      <c r="AE374921" s="34"/>
      <c r="AF374921" s="34"/>
    </row>
    <row r="374929" spans="31:32" x14ac:dyDescent="0.25">
      <c r="AE374929" s="36"/>
      <c r="AF374929" s="36"/>
    </row>
    <row r="375025" spans="31:32" x14ac:dyDescent="0.25">
      <c r="AE375025" s="34"/>
      <c r="AF375025" s="34"/>
    </row>
    <row r="375033" spans="31:32" x14ac:dyDescent="0.25">
      <c r="AE375033" s="36"/>
      <c r="AF375033" s="36"/>
    </row>
    <row r="375129" spans="31:32" x14ac:dyDescent="0.25">
      <c r="AE375129" s="34"/>
      <c r="AF375129" s="34"/>
    </row>
    <row r="375137" spans="31:32" x14ac:dyDescent="0.25">
      <c r="AE375137" s="36"/>
      <c r="AF375137" s="36"/>
    </row>
    <row r="375233" spans="31:32" x14ac:dyDescent="0.25">
      <c r="AE375233" s="34"/>
      <c r="AF375233" s="34"/>
    </row>
    <row r="375241" spans="31:32" x14ac:dyDescent="0.25">
      <c r="AE375241" s="36"/>
      <c r="AF375241" s="36"/>
    </row>
    <row r="375337" spans="31:32" x14ac:dyDescent="0.25">
      <c r="AE375337" s="34"/>
      <c r="AF375337" s="34"/>
    </row>
    <row r="375345" spans="31:32" x14ac:dyDescent="0.25">
      <c r="AE375345" s="36"/>
      <c r="AF375345" s="36"/>
    </row>
    <row r="375441" spans="31:32" x14ac:dyDescent="0.25">
      <c r="AE375441" s="34"/>
      <c r="AF375441" s="34"/>
    </row>
    <row r="375449" spans="31:32" x14ac:dyDescent="0.25">
      <c r="AE375449" s="36"/>
      <c r="AF375449" s="36"/>
    </row>
    <row r="375545" spans="31:32" x14ac:dyDescent="0.25">
      <c r="AE375545" s="34"/>
      <c r="AF375545" s="34"/>
    </row>
    <row r="375553" spans="31:32" x14ac:dyDescent="0.25">
      <c r="AE375553" s="36"/>
      <c r="AF375553" s="36"/>
    </row>
    <row r="375649" spans="31:32" x14ac:dyDescent="0.25">
      <c r="AE375649" s="34"/>
      <c r="AF375649" s="34"/>
    </row>
    <row r="375657" spans="31:32" x14ac:dyDescent="0.25">
      <c r="AE375657" s="36"/>
      <c r="AF375657" s="36"/>
    </row>
    <row r="375753" spans="31:32" x14ac:dyDescent="0.25">
      <c r="AE375753" s="34"/>
      <c r="AF375753" s="34"/>
    </row>
    <row r="375761" spans="31:32" x14ac:dyDescent="0.25">
      <c r="AE375761" s="36"/>
      <c r="AF375761" s="36"/>
    </row>
    <row r="375857" spans="31:32" x14ac:dyDescent="0.25">
      <c r="AE375857" s="34"/>
      <c r="AF375857" s="34"/>
    </row>
    <row r="375865" spans="31:32" x14ac:dyDescent="0.25">
      <c r="AE375865" s="36"/>
      <c r="AF375865" s="36"/>
    </row>
    <row r="375961" spans="31:32" x14ac:dyDescent="0.25">
      <c r="AE375961" s="34"/>
      <c r="AF375961" s="34"/>
    </row>
    <row r="375969" spans="31:32" x14ac:dyDescent="0.25">
      <c r="AE375969" s="36"/>
      <c r="AF375969" s="36"/>
    </row>
    <row r="376065" spans="31:32" x14ac:dyDescent="0.25">
      <c r="AE376065" s="34"/>
      <c r="AF376065" s="34"/>
    </row>
    <row r="376073" spans="31:32" x14ac:dyDescent="0.25">
      <c r="AE376073" s="36"/>
      <c r="AF376073" s="36"/>
    </row>
    <row r="376169" spans="31:32" x14ac:dyDescent="0.25">
      <c r="AE376169" s="34"/>
      <c r="AF376169" s="34"/>
    </row>
    <row r="376177" spans="31:32" x14ac:dyDescent="0.25">
      <c r="AE376177" s="36"/>
      <c r="AF376177" s="36"/>
    </row>
    <row r="376273" spans="31:32" x14ac:dyDescent="0.25">
      <c r="AE376273" s="34"/>
      <c r="AF376273" s="34"/>
    </row>
    <row r="376281" spans="31:32" x14ac:dyDescent="0.25">
      <c r="AE376281" s="36"/>
      <c r="AF376281" s="36"/>
    </row>
    <row r="376377" spans="31:32" x14ac:dyDescent="0.25">
      <c r="AE376377" s="34"/>
      <c r="AF376377" s="34"/>
    </row>
    <row r="376385" spans="31:32" x14ac:dyDescent="0.25">
      <c r="AE376385" s="36"/>
      <c r="AF376385" s="36"/>
    </row>
    <row r="376481" spans="31:32" x14ac:dyDescent="0.25">
      <c r="AE376481" s="34"/>
      <c r="AF376481" s="34"/>
    </row>
    <row r="376489" spans="31:32" x14ac:dyDescent="0.25">
      <c r="AE376489" s="36"/>
      <c r="AF376489" s="36"/>
    </row>
    <row r="376585" spans="31:32" x14ac:dyDescent="0.25">
      <c r="AE376585" s="34"/>
      <c r="AF376585" s="34"/>
    </row>
    <row r="376593" spans="31:32" x14ac:dyDescent="0.25">
      <c r="AE376593" s="36"/>
      <c r="AF376593" s="36"/>
    </row>
    <row r="376689" spans="31:32" x14ac:dyDescent="0.25">
      <c r="AE376689" s="34"/>
      <c r="AF376689" s="34"/>
    </row>
    <row r="376697" spans="31:32" x14ac:dyDescent="0.25">
      <c r="AE376697" s="36"/>
      <c r="AF376697" s="36"/>
    </row>
    <row r="376793" spans="31:32" x14ac:dyDescent="0.25">
      <c r="AE376793" s="34"/>
      <c r="AF376793" s="34"/>
    </row>
    <row r="376801" spans="31:32" x14ac:dyDescent="0.25">
      <c r="AE376801" s="36"/>
      <c r="AF376801" s="36"/>
    </row>
    <row r="376897" spans="31:32" x14ac:dyDescent="0.25">
      <c r="AE376897" s="34"/>
      <c r="AF376897" s="34"/>
    </row>
    <row r="376905" spans="31:32" x14ac:dyDescent="0.25">
      <c r="AE376905" s="36"/>
      <c r="AF376905" s="36"/>
    </row>
    <row r="377001" spans="31:32" x14ac:dyDescent="0.25">
      <c r="AE377001" s="34"/>
      <c r="AF377001" s="34"/>
    </row>
    <row r="377009" spans="31:32" x14ac:dyDescent="0.25">
      <c r="AE377009" s="36"/>
      <c r="AF377009" s="36"/>
    </row>
    <row r="377105" spans="31:32" x14ac:dyDescent="0.25">
      <c r="AE377105" s="34"/>
      <c r="AF377105" s="34"/>
    </row>
    <row r="377113" spans="31:32" x14ac:dyDescent="0.25">
      <c r="AE377113" s="36"/>
      <c r="AF377113" s="36"/>
    </row>
    <row r="377209" spans="31:32" x14ac:dyDescent="0.25">
      <c r="AE377209" s="34"/>
      <c r="AF377209" s="34"/>
    </row>
    <row r="377217" spans="31:32" x14ac:dyDescent="0.25">
      <c r="AE377217" s="36"/>
      <c r="AF377217" s="36"/>
    </row>
    <row r="377313" spans="31:32" x14ac:dyDescent="0.25">
      <c r="AE377313" s="34"/>
      <c r="AF377313" s="34"/>
    </row>
    <row r="377321" spans="31:32" x14ac:dyDescent="0.25">
      <c r="AE377321" s="36"/>
      <c r="AF377321" s="36"/>
    </row>
    <row r="377417" spans="31:32" x14ac:dyDescent="0.25">
      <c r="AE377417" s="34"/>
      <c r="AF377417" s="34"/>
    </row>
    <row r="377425" spans="31:32" x14ac:dyDescent="0.25">
      <c r="AE377425" s="36"/>
      <c r="AF377425" s="36"/>
    </row>
    <row r="377521" spans="31:32" x14ac:dyDescent="0.25">
      <c r="AE377521" s="34"/>
      <c r="AF377521" s="34"/>
    </row>
    <row r="377529" spans="31:32" x14ac:dyDescent="0.25">
      <c r="AE377529" s="36"/>
      <c r="AF377529" s="36"/>
    </row>
    <row r="377625" spans="31:32" x14ac:dyDescent="0.25">
      <c r="AE377625" s="34"/>
      <c r="AF377625" s="34"/>
    </row>
    <row r="377633" spans="31:32" x14ac:dyDescent="0.25">
      <c r="AE377633" s="36"/>
      <c r="AF377633" s="36"/>
    </row>
    <row r="377729" spans="31:32" x14ac:dyDescent="0.25">
      <c r="AE377729" s="34"/>
      <c r="AF377729" s="34"/>
    </row>
    <row r="377737" spans="31:32" x14ac:dyDescent="0.25">
      <c r="AE377737" s="36"/>
      <c r="AF377737" s="36"/>
    </row>
    <row r="377833" spans="31:32" x14ac:dyDescent="0.25">
      <c r="AE377833" s="34"/>
      <c r="AF377833" s="34"/>
    </row>
    <row r="377841" spans="31:32" x14ac:dyDescent="0.25">
      <c r="AE377841" s="36"/>
      <c r="AF377841" s="36"/>
    </row>
    <row r="377937" spans="31:32" x14ac:dyDescent="0.25">
      <c r="AE377937" s="34"/>
      <c r="AF377937" s="34"/>
    </row>
    <row r="377945" spans="31:32" x14ac:dyDescent="0.25">
      <c r="AE377945" s="36"/>
      <c r="AF377945" s="36"/>
    </row>
    <row r="378041" spans="31:32" x14ac:dyDescent="0.25">
      <c r="AE378041" s="34"/>
      <c r="AF378041" s="34"/>
    </row>
    <row r="378049" spans="31:32" x14ac:dyDescent="0.25">
      <c r="AE378049" s="36"/>
      <c r="AF378049" s="36"/>
    </row>
    <row r="378145" spans="31:32" x14ac:dyDescent="0.25">
      <c r="AE378145" s="34"/>
      <c r="AF378145" s="34"/>
    </row>
    <row r="378153" spans="31:32" x14ac:dyDescent="0.25">
      <c r="AE378153" s="36"/>
      <c r="AF378153" s="36"/>
    </row>
    <row r="378249" spans="31:32" x14ac:dyDescent="0.25">
      <c r="AE378249" s="34"/>
      <c r="AF378249" s="34"/>
    </row>
    <row r="378257" spans="31:32" x14ac:dyDescent="0.25">
      <c r="AE378257" s="36"/>
      <c r="AF378257" s="36"/>
    </row>
    <row r="378353" spans="31:32" x14ac:dyDescent="0.25">
      <c r="AE378353" s="34"/>
      <c r="AF378353" s="34"/>
    </row>
    <row r="378361" spans="31:32" x14ac:dyDescent="0.25">
      <c r="AE378361" s="36"/>
      <c r="AF378361" s="36"/>
    </row>
    <row r="378457" spans="31:32" x14ac:dyDescent="0.25">
      <c r="AE378457" s="34"/>
      <c r="AF378457" s="34"/>
    </row>
    <row r="378465" spans="31:32" x14ac:dyDescent="0.25">
      <c r="AE378465" s="36"/>
      <c r="AF378465" s="36"/>
    </row>
    <row r="378561" spans="31:32" x14ac:dyDescent="0.25">
      <c r="AE378561" s="34"/>
      <c r="AF378561" s="34"/>
    </row>
    <row r="378569" spans="31:32" x14ac:dyDescent="0.25">
      <c r="AE378569" s="36"/>
      <c r="AF378569" s="36"/>
    </row>
    <row r="378665" spans="31:32" x14ac:dyDescent="0.25">
      <c r="AE378665" s="34"/>
      <c r="AF378665" s="34"/>
    </row>
    <row r="378673" spans="31:32" x14ac:dyDescent="0.25">
      <c r="AE378673" s="36"/>
      <c r="AF378673" s="36"/>
    </row>
    <row r="378769" spans="31:32" x14ac:dyDescent="0.25">
      <c r="AE378769" s="34"/>
      <c r="AF378769" s="34"/>
    </row>
    <row r="378777" spans="31:32" x14ac:dyDescent="0.25">
      <c r="AE378777" s="36"/>
      <c r="AF378777" s="36"/>
    </row>
    <row r="378873" spans="31:32" x14ac:dyDescent="0.25">
      <c r="AE378873" s="34"/>
      <c r="AF378873" s="34"/>
    </row>
    <row r="378881" spans="31:32" x14ac:dyDescent="0.25">
      <c r="AE378881" s="36"/>
      <c r="AF378881" s="36"/>
    </row>
    <row r="378977" spans="31:32" x14ac:dyDescent="0.25">
      <c r="AE378977" s="34"/>
      <c r="AF378977" s="34"/>
    </row>
    <row r="378985" spans="31:32" x14ac:dyDescent="0.25">
      <c r="AE378985" s="36"/>
      <c r="AF378985" s="36"/>
    </row>
    <row r="379081" spans="31:32" x14ac:dyDescent="0.25">
      <c r="AE379081" s="34"/>
      <c r="AF379081" s="34"/>
    </row>
    <row r="379089" spans="31:32" x14ac:dyDescent="0.25">
      <c r="AE379089" s="36"/>
      <c r="AF379089" s="36"/>
    </row>
    <row r="379185" spans="31:32" x14ac:dyDescent="0.25">
      <c r="AE379185" s="34"/>
      <c r="AF379185" s="34"/>
    </row>
    <row r="379193" spans="31:32" x14ac:dyDescent="0.25">
      <c r="AE379193" s="36"/>
      <c r="AF379193" s="36"/>
    </row>
    <row r="379289" spans="31:32" x14ac:dyDescent="0.25">
      <c r="AE379289" s="34"/>
      <c r="AF379289" s="34"/>
    </row>
    <row r="379297" spans="31:32" x14ac:dyDescent="0.25">
      <c r="AE379297" s="36"/>
      <c r="AF379297" s="36"/>
    </row>
    <row r="379393" spans="31:32" x14ac:dyDescent="0.25">
      <c r="AE379393" s="34"/>
      <c r="AF379393" s="34"/>
    </row>
    <row r="379401" spans="31:32" x14ac:dyDescent="0.25">
      <c r="AE379401" s="36"/>
      <c r="AF379401" s="36"/>
    </row>
    <row r="379497" spans="31:32" x14ac:dyDescent="0.25">
      <c r="AE379497" s="34"/>
      <c r="AF379497" s="34"/>
    </row>
    <row r="379505" spans="31:32" x14ac:dyDescent="0.25">
      <c r="AE379505" s="36"/>
      <c r="AF379505" s="36"/>
    </row>
    <row r="379601" spans="31:32" x14ac:dyDescent="0.25">
      <c r="AE379601" s="34"/>
      <c r="AF379601" s="34"/>
    </row>
    <row r="379609" spans="31:32" x14ac:dyDescent="0.25">
      <c r="AE379609" s="36"/>
      <c r="AF379609" s="36"/>
    </row>
    <row r="379705" spans="31:32" x14ac:dyDescent="0.25">
      <c r="AE379705" s="34"/>
      <c r="AF379705" s="34"/>
    </row>
    <row r="379713" spans="31:32" x14ac:dyDescent="0.25">
      <c r="AE379713" s="36"/>
      <c r="AF379713" s="36"/>
    </row>
    <row r="379809" spans="31:32" x14ac:dyDescent="0.25">
      <c r="AE379809" s="34"/>
      <c r="AF379809" s="34"/>
    </row>
    <row r="379817" spans="31:32" x14ac:dyDescent="0.25">
      <c r="AE379817" s="36"/>
      <c r="AF379817" s="36"/>
    </row>
    <row r="379913" spans="31:32" x14ac:dyDescent="0.25">
      <c r="AE379913" s="34"/>
      <c r="AF379913" s="34"/>
    </row>
    <row r="379921" spans="31:32" x14ac:dyDescent="0.25">
      <c r="AE379921" s="36"/>
      <c r="AF379921" s="36"/>
    </row>
    <row r="380017" spans="31:32" x14ac:dyDescent="0.25">
      <c r="AE380017" s="34"/>
      <c r="AF380017" s="34"/>
    </row>
    <row r="380025" spans="31:32" x14ac:dyDescent="0.25">
      <c r="AE380025" s="36"/>
      <c r="AF380025" s="36"/>
    </row>
    <row r="380121" spans="31:32" x14ac:dyDescent="0.25">
      <c r="AE380121" s="34"/>
      <c r="AF380121" s="34"/>
    </row>
    <row r="380129" spans="31:32" x14ac:dyDescent="0.25">
      <c r="AE380129" s="36"/>
      <c r="AF380129" s="36"/>
    </row>
    <row r="380225" spans="31:32" x14ac:dyDescent="0.25">
      <c r="AE380225" s="34"/>
      <c r="AF380225" s="34"/>
    </row>
    <row r="380233" spans="31:32" x14ac:dyDescent="0.25">
      <c r="AE380233" s="36"/>
      <c r="AF380233" s="36"/>
    </row>
    <row r="380329" spans="31:32" x14ac:dyDescent="0.25">
      <c r="AE380329" s="34"/>
      <c r="AF380329" s="34"/>
    </row>
    <row r="380337" spans="31:32" x14ac:dyDescent="0.25">
      <c r="AE380337" s="36"/>
      <c r="AF380337" s="36"/>
    </row>
    <row r="380433" spans="31:32" x14ac:dyDescent="0.25">
      <c r="AE380433" s="34"/>
      <c r="AF380433" s="34"/>
    </row>
    <row r="380441" spans="31:32" x14ac:dyDescent="0.25">
      <c r="AE380441" s="36"/>
      <c r="AF380441" s="36"/>
    </row>
    <row r="380537" spans="31:32" x14ac:dyDescent="0.25">
      <c r="AE380537" s="34"/>
      <c r="AF380537" s="34"/>
    </row>
    <row r="380545" spans="31:32" x14ac:dyDescent="0.25">
      <c r="AE380545" s="36"/>
      <c r="AF380545" s="36"/>
    </row>
    <row r="380641" spans="31:32" x14ac:dyDescent="0.25">
      <c r="AE380641" s="34"/>
      <c r="AF380641" s="34"/>
    </row>
    <row r="380649" spans="31:32" x14ac:dyDescent="0.25">
      <c r="AE380649" s="36"/>
      <c r="AF380649" s="36"/>
    </row>
    <row r="380745" spans="31:32" x14ac:dyDescent="0.25">
      <c r="AE380745" s="34"/>
      <c r="AF380745" s="34"/>
    </row>
    <row r="380753" spans="31:32" x14ac:dyDescent="0.25">
      <c r="AE380753" s="36"/>
      <c r="AF380753" s="36"/>
    </row>
    <row r="380849" spans="31:32" x14ac:dyDescent="0.25">
      <c r="AE380849" s="34"/>
      <c r="AF380849" s="34"/>
    </row>
    <row r="380857" spans="31:32" x14ac:dyDescent="0.25">
      <c r="AE380857" s="36"/>
      <c r="AF380857" s="36"/>
    </row>
    <row r="380953" spans="31:32" x14ac:dyDescent="0.25">
      <c r="AE380953" s="34"/>
      <c r="AF380953" s="34"/>
    </row>
    <row r="380961" spans="31:32" x14ac:dyDescent="0.25">
      <c r="AE380961" s="36"/>
      <c r="AF380961" s="36"/>
    </row>
    <row r="381057" spans="31:32" x14ac:dyDescent="0.25">
      <c r="AE381057" s="34"/>
      <c r="AF381057" s="34"/>
    </row>
    <row r="381065" spans="31:32" x14ac:dyDescent="0.25">
      <c r="AE381065" s="36"/>
      <c r="AF381065" s="36"/>
    </row>
    <row r="381161" spans="31:32" x14ac:dyDescent="0.25">
      <c r="AE381161" s="34"/>
      <c r="AF381161" s="34"/>
    </row>
    <row r="381169" spans="31:32" x14ac:dyDescent="0.25">
      <c r="AE381169" s="36"/>
      <c r="AF381169" s="36"/>
    </row>
    <row r="381265" spans="31:32" x14ac:dyDescent="0.25">
      <c r="AE381265" s="34"/>
      <c r="AF381265" s="34"/>
    </row>
    <row r="381273" spans="31:32" x14ac:dyDescent="0.25">
      <c r="AE381273" s="36"/>
      <c r="AF381273" s="36"/>
    </row>
    <row r="381369" spans="31:32" x14ac:dyDescent="0.25">
      <c r="AE381369" s="34"/>
      <c r="AF381369" s="34"/>
    </row>
    <row r="381377" spans="31:32" x14ac:dyDescent="0.25">
      <c r="AE381377" s="36"/>
      <c r="AF381377" s="36"/>
    </row>
    <row r="381473" spans="31:32" x14ac:dyDescent="0.25">
      <c r="AE381473" s="34"/>
      <c r="AF381473" s="34"/>
    </row>
    <row r="381481" spans="31:32" x14ac:dyDescent="0.25">
      <c r="AE381481" s="36"/>
      <c r="AF381481" s="36"/>
    </row>
    <row r="381577" spans="31:32" x14ac:dyDescent="0.25">
      <c r="AE381577" s="34"/>
      <c r="AF381577" s="34"/>
    </row>
    <row r="381585" spans="31:32" x14ac:dyDescent="0.25">
      <c r="AE381585" s="36"/>
      <c r="AF381585" s="36"/>
    </row>
    <row r="381681" spans="31:32" x14ac:dyDescent="0.25">
      <c r="AE381681" s="34"/>
      <c r="AF381681" s="34"/>
    </row>
    <row r="381689" spans="31:32" x14ac:dyDescent="0.25">
      <c r="AE381689" s="36"/>
      <c r="AF381689" s="36"/>
    </row>
    <row r="381785" spans="31:32" x14ac:dyDescent="0.25">
      <c r="AE381785" s="34"/>
      <c r="AF381785" s="34"/>
    </row>
    <row r="381793" spans="31:32" x14ac:dyDescent="0.25">
      <c r="AE381793" s="36"/>
      <c r="AF381793" s="36"/>
    </row>
    <row r="381889" spans="31:32" x14ac:dyDescent="0.25">
      <c r="AE381889" s="34"/>
      <c r="AF381889" s="34"/>
    </row>
    <row r="381897" spans="31:32" x14ac:dyDescent="0.25">
      <c r="AE381897" s="36"/>
      <c r="AF381897" s="36"/>
    </row>
    <row r="381993" spans="31:32" x14ac:dyDescent="0.25">
      <c r="AE381993" s="34"/>
      <c r="AF381993" s="34"/>
    </row>
    <row r="382001" spans="31:32" x14ac:dyDescent="0.25">
      <c r="AE382001" s="36"/>
      <c r="AF382001" s="36"/>
    </row>
    <row r="382097" spans="31:32" x14ac:dyDescent="0.25">
      <c r="AE382097" s="34"/>
      <c r="AF382097" s="34"/>
    </row>
    <row r="382105" spans="31:32" x14ac:dyDescent="0.25">
      <c r="AE382105" s="36"/>
      <c r="AF382105" s="36"/>
    </row>
    <row r="382201" spans="31:32" x14ac:dyDescent="0.25">
      <c r="AE382201" s="34"/>
      <c r="AF382201" s="34"/>
    </row>
    <row r="382209" spans="31:32" x14ac:dyDescent="0.25">
      <c r="AE382209" s="36"/>
      <c r="AF382209" s="36"/>
    </row>
    <row r="382305" spans="31:32" x14ac:dyDescent="0.25">
      <c r="AE382305" s="34"/>
      <c r="AF382305" s="34"/>
    </row>
    <row r="382313" spans="31:32" x14ac:dyDescent="0.25">
      <c r="AE382313" s="36"/>
      <c r="AF382313" s="36"/>
    </row>
    <row r="382409" spans="31:32" x14ac:dyDescent="0.25">
      <c r="AE382409" s="34"/>
      <c r="AF382409" s="34"/>
    </row>
    <row r="382417" spans="31:32" x14ac:dyDescent="0.25">
      <c r="AE382417" s="36"/>
      <c r="AF382417" s="36"/>
    </row>
    <row r="382513" spans="31:32" x14ac:dyDescent="0.25">
      <c r="AE382513" s="34"/>
      <c r="AF382513" s="34"/>
    </row>
    <row r="382521" spans="31:32" x14ac:dyDescent="0.25">
      <c r="AE382521" s="36"/>
      <c r="AF382521" s="36"/>
    </row>
    <row r="382617" spans="31:32" x14ac:dyDescent="0.25">
      <c r="AE382617" s="34"/>
      <c r="AF382617" s="34"/>
    </row>
    <row r="382625" spans="31:32" x14ac:dyDescent="0.25">
      <c r="AE382625" s="36"/>
      <c r="AF382625" s="36"/>
    </row>
    <row r="382721" spans="31:32" x14ac:dyDescent="0.25">
      <c r="AE382721" s="34"/>
      <c r="AF382721" s="34"/>
    </row>
    <row r="382729" spans="31:32" x14ac:dyDescent="0.25">
      <c r="AE382729" s="36"/>
      <c r="AF382729" s="36"/>
    </row>
    <row r="382825" spans="31:32" x14ac:dyDescent="0.25">
      <c r="AE382825" s="34"/>
      <c r="AF382825" s="34"/>
    </row>
    <row r="382833" spans="31:32" x14ac:dyDescent="0.25">
      <c r="AE382833" s="36"/>
      <c r="AF382833" s="36"/>
    </row>
    <row r="382929" spans="31:32" x14ac:dyDescent="0.25">
      <c r="AE382929" s="34"/>
      <c r="AF382929" s="34"/>
    </row>
    <row r="382937" spans="31:32" x14ac:dyDescent="0.25">
      <c r="AE382937" s="36"/>
      <c r="AF382937" s="36"/>
    </row>
    <row r="383033" spans="31:32" x14ac:dyDescent="0.25">
      <c r="AE383033" s="34"/>
      <c r="AF383033" s="34"/>
    </row>
    <row r="383041" spans="31:32" x14ac:dyDescent="0.25">
      <c r="AE383041" s="36"/>
      <c r="AF383041" s="36"/>
    </row>
    <row r="383137" spans="31:32" x14ac:dyDescent="0.25">
      <c r="AE383137" s="34"/>
      <c r="AF383137" s="34"/>
    </row>
    <row r="383145" spans="31:32" x14ac:dyDescent="0.25">
      <c r="AE383145" s="36"/>
      <c r="AF383145" s="36"/>
    </row>
    <row r="383241" spans="31:32" x14ac:dyDescent="0.25">
      <c r="AE383241" s="34"/>
      <c r="AF383241" s="34"/>
    </row>
    <row r="383249" spans="31:32" x14ac:dyDescent="0.25">
      <c r="AE383249" s="36"/>
      <c r="AF383249" s="36"/>
    </row>
    <row r="383345" spans="31:32" x14ac:dyDescent="0.25">
      <c r="AE383345" s="34"/>
      <c r="AF383345" s="34"/>
    </row>
    <row r="383353" spans="31:32" x14ac:dyDescent="0.25">
      <c r="AE383353" s="36"/>
      <c r="AF383353" s="36"/>
    </row>
    <row r="383449" spans="31:32" x14ac:dyDescent="0.25">
      <c r="AE383449" s="34"/>
      <c r="AF383449" s="34"/>
    </row>
    <row r="383457" spans="31:32" x14ac:dyDescent="0.25">
      <c r="AE383457" s="36"/>
      <c r="AF383457" s="36"/>
    </row>
    <row r="383553" spans="31:32" x14ac:dyDescent="0.25">
      <c r="AE383553" s="34"/>
      <c r="AF383553" s="34"/>
    </row>
    <row r="383561" spans="31:32" x14ac:dyDescent="0.25">
      <c r="AE383561" s="36"/>
      <c r="AF383561" s="36"/>
    </row>
    <row r="383657" spans="31:32" x14ac:dyDescent="0.25">
      <c r="AE383657" s="34"/>
      <c r="AF383657" s="34"/>
    </row>
    <row r="383665" spans="31:32" x14ac:dyDescent="0.25">
      <c r="AE383665" s="36"/>
      <c r="AF383665" s="36"/>
    </row>
    <row r="383761" spans="31:32" x14ac:dyDescent="0.25">
      <c r="AE383761" s="34"/>
      <c r="AF383761" s="34"/>
    </row>
    <row r="383769" spans="31:32" x14ac:dyDescent="0.25">
      <c r="AE383769" s="36"/>
      <c r="AF383769" s="36"/>
    </row>
    <row r="383865" spans="31:32" x14ac:dyDescent="0.25">
      <c r="AE383865" s="34"/>
      <c r="AF383865" s="34"/>
    </row>
    <row r="383873" spans="31:32" x14ac:dyDescent="0.25">
      <c r="AE383873" s="36"/>
      <c r="AF383873" s="36"/>
    </row>
    <row r="383969" spans="31:32" x14ac:dyDescent="0.25">
      <c r="AE383969" s="34"/>
      <c r="AF383969" s="34"/>
    </row>
    <row r="383977" spans="31:32" x14ac:dyDescent="0.25">
      <c r="AE383977" s="36"/>
      <c r="AF383977" s="36"/>
    </row>
    <row r="384073" spans="31:32" x14ac:dyDescent="0.25">
      <c r="AE384073" s="34"/>
      <c r="AF384073" s="34"/>
    </row>
    <row r="384081" spans="31:32" x14ac:dyDescent="0.25">
      <c r="AE384081" s="36"/>
      <c r="AF384081" s="36"/>
    </row>
    <row r="384177" spans="31:32" x14ac:dyDescent="0.25">
      <c r="AE384177" s="34"/>
      <c r="AF384177" s="34"/>
    </row>
    <row r="384185" spans="31:32" x14ac:dyDescent="0.25">
      <c r="AE384185" s="36"/>
      <c r="AF384185" s="36"/>
    </row>
    <row r="384281" spans="31:32" x14ac:dyDescent="0.25">
      <c r="AE384281" s="34"/>
      <c r="AF384281" s="34"/>
    </row>
    <row r="384289" spans="31:32" x14ac:dyDescent="0.25">
      <c r="AE384289" s="36"/>
      <c r="AF384289" s="36"/>
    </row>
    <row r="384385" spans="31:32" x14ac:dyDescent="0.25">
      <c r="AE384385" s="34"/>
      <c r="AF384385" s="34"/>
    </row>
    <row r="384393" spans="31:32" x14ac:dyDescent="0.25">
      <c r="AE384393" s="36"/>
      <c r="AF384393" s="36"/>
    </row>
    <row r="384489" spans="31:32" x14ac:dyDescent="0.25">
      <c r="AE384489" s="34"/>
      <c r="AF384489" s="34"/>
    </row>
    <row r="384497" spans="31:32" x14ac:dyDescent="0.25">
      <c r="AE384497" s="36"/>
      <c r="AF384497" s="36"/>
    </row>
    <row r="384593" spans="31:32" x14ac:dyDescent="0.25">
      <c r="AE384593" s="34"/>
      <c r="AF384593" s="34"/>
    </row>
    <row r="384601" spans="31:32" x14ac:dyDescent="0.25">
      <c r="AE384601" s="36"/>
      <c r="AF384601" s="36"/>
    </row>
    <row r="384697" spans="31:32" x14ac:dyDescent="0.25">
      <c r="AE384697" s="34"/>
      <c r="AF384697" s="34"/>
    </row>
    <row r="384705" spans="31:32" x14ac:dyDescent="0.25">
      <c r="AE384705" s="36"/>
      <c r="AF384705" s="36"/>
    </row>
    <row r="384801" spans="31:32" x14ac:dyDescent="0.25">
      <c r="AE384801" s="34"/>
      <c r="AF384801" s="34"/>
    </row>
    <row r="384809" spans="31:32" x14ac:dyDescent="0.25">
      <c r="AE384809" s="36"/>
      <c r="AF384809" s="36"/>
    </row>
    <row r="384905" spans="31:32" x14ac:dyDescent="0.25">
      <c r="AE384905" s="34"/>
      <c r="AF384905" s="34"/>
    </row>
    <row r="384913" spans="31:32" x14ac:dyDescent="0.25">
      <c r="AE384913" s="36"/>
      <c r="AF384913" s="36"/>
    </row>
    <row r="385009" spans="31:32" x14ac:dyDescent="0.25">
      <c r="AE385009" s="34"/>
      <c r="AF385009" s="34"/>
    </row>
    <row r="385017" spans="31:32" x14ac:dyDescent="0.25">
      <c r="AE385017" s="36"/>
      <c r="AF385017" s="36"/>
    </row>
    <row r="385113" spans="31:32" x14ac:dyDescent="0.25">
      <c r="AE385113" s="34"/>
      <c r="AF385113" s="34"/>
    </row>
    <row r="385121" spans="31:32" x14ac:dyDescent="0.25">
      <c r="AE385121" s="36"/>
      <c r="AF385121" s="36"/>
    </row>
    <row r="385217" spans="31:32" x14ac:dyDescent="0.25">
      <c r="AE385217" s="34"/>
      <c r="AF385217" s="34"/>
    </row>
    <row r="385225" spans="31:32" x14ac:dyDescent="0.25">
      <c r="AE385225" s="36"/>
      <c r="AF385225" s="36"/>
    </row>
    <row r="385321" spans="31:32" x14ac:dyDescent="0.25">
      <c r="AE385321" s="34"/>
      <c r="AF385321" s="34"/>
    </row>
    <row r="385329" spans="31:32" x14ac:dyDescent="0.25">
      <c r="AE385329" s="36"/>
      <c r="AF385329" s="36"/>
    </row>
    <row r="385425" spans="31:32" x14ac:dyDescent="0.25">
      <c r="AE385425" s="34"/>
      <c r="AF385425" s="34"/>
    </row>
    <row r="385433" spans="31:32" x14ac:dyDescent="0.25">
      <c r="AE385433" s="36"/>
      <c r="AF385433" s="36"/>
    </row>
    <row r="385529" spans="31:32" x14ac:dyDescent="0.25">
      <c r="AE385529" s="34"/>
      <c r="AF385529" s="34"/>
    </row>
    <row r="385537" spans="31:32" x14ac:dyDescent="0.25">
      <c r="AE385537" s="36"/>
      <c r="AF385537" s="36"/>
    </row>
    <row r="385633" spans="31:32" x14ac:dyDescent="0.25">
      <c r="AE385633" s="34"/>
      <c r="AF385633" s="34"/>
    </row>
    <row r="385641" spans="31:32" x14ac:dyDescent="0.25">
      <c r="AE385641" s="36"/>
      <c r="AF385641" s="36"/>
    </row>
    <row r="385737" spans="31:32" x14ac:dyDescent="0.25">
      <c r="AE385737" s="34"/>
      <c r="AF385737" s="34"/>
    </row>
    <row r="385745" spans="31:32" x14ac:dyDescent="0.25">
      <c r="AE385745" s="36"/>
      <c r="AF385745" s="36"/>
    </row>
    <row r="385841" spans="31:32" x14ac:dyDescent="0.25">
      <c r="AE385841" s="34"/>
      <c r="AF385841" s="34"/>
    </row>
    <row r="385849" spans="31:32" x14ac:dyDescent="0.25">
      <c r="AE385849" s="36"/>
      <c r="AF385849" s="36"/>
    </row>
    <row r="385945" spans="31:32" x14ac:dyDescent="0.25">
      <c r="AE385945" s="34"/>
      <c r="AF385945" s="34"/>
    </row>
    <row r="385953" spans="31:32" x14ac:dyDescent="0.25">
      <c r="AE385953" s="36"/>
      <c r="AF385953" s="36"/>
    </row>
    <row r="386049" spans="31:32" x14ac:dyDescent="0.25">
      <c r="AE386049" s="34"/>
      <c r="AF386049" s="34"/>
    </row>
    <row r="386057" spans="31:32" x14ac:dyDescent="0.25">
      <c r="AE386057" s="36"/>
      <c r="AF386057" s="36"/>
    </row>
    <row r="386153" spans="31:32" x14ac:dyDescent="0.25">
      <c r="AE386153" s="34"/>
      <c r="AF386153" s="34"/>
    </row>
    <row r="386161" spans="31:32" x14ac:dyDescent="0.25">
      <c r="AE386161" s="36"/>
      <c r="AF386161" s="36"/>
    </row>
    <row r="386257" spans="31:32" x14ac:dyDescent="0.25">
      <c r="AE386257" s="34"/>
      <c r="AF386257" s="34"/>
    </row>
    <row r="386265" spans="31:32" x14ac:dyDescent="0.25">
      <c r="AE386265" s="36"/>
      <c r="AF386265" s="36"/>
    </row>
    <row r="386361" spans="31:32" x14ac:dyDescent="0.25">
      <c r="AE386361" s="34"/>
      <c r="AF386361" s="34"/>
    </row>
    <row r="386369" spans="31:32" x14ac:dyDescent="0.25">
      <c r="AE386369" s="36"/>
      <c r="AF386369" s="36"/>
    </row>
    <row r="386465" spans="31:32" x14ac:dyDescent="0.25">
      <c r="AE386465" s="34"/>
      <c r="AF386465" s="34"/>
    </row>
    <row r="386473" spans="31:32" x14ac:dyDescent="0.25">
      <c r="AE386473" s="36"/>
      <c r="AF386473" s="36"/>
    </row>
    <row r="386569" spans="31:32" x14ac:dyDescent="0.25">
      <c r="AE386569" s="34"/>
      <c r="AF386569" s="34"/>
    </row>
    <row r="386577" spans="31:32" x14ac:dyDescent="0.25">
      <c r="AE386577" s="36"/>
      <c r="AF386577" s="36"/>
    </row>
    <row r="386673" spans="31:32" x14ac:dyDescent="0.25">
      <c r="AE386673" s="34"/>
      <c r="AF386673" s="34"/>
    </row>
    <row r="386681" spans="31:32" x14ac:dyDescent="0.25">
      <c r="AE386681" s="36"/>
      <c r="AF386681" s="36"/>
    </row>
    <row r="386777" spans="31:32" x14ac:dyDescent="0.25">
      <c r="AE386777" s="34"/>
      <c r="AF386777" s="34"/>
    </row>
    <row r="386785" spans="31:32" x14ac:dyDescent="0.25">
      <c r="AE386785" s="36"/>
      <c r="AF386785" s="36"/>
    </row>
    <row r="386881" spans="31:32" x14ac:dyDescent="0.25">
      <c r="AE386881" s="34"/>
      <c r="AF386881" s="34"/>
    </row>
    <row r="386889" spans="31:32" x14ac:dyDescent="0.25">
      <c r="AE386889" s="36"/>
      <c r="AF386889" s="36"/>
    </row>
    <row r="386985" spans="31:32" x14ac:dyDescent="0.25">
      <c r="AE386985" s="34"/>
      <c r="AF386985" s="34"/>
    </row>
    <row r="386993" spans="31:32" x14ac:dyDescent="0.25">
      <c r="AE386993" s="36"/>
      <c r="AF386993" s="36"/>
    </row>
    <row r="387089" spans="31:32" x14ac:dyDescent="0.25">
      <c r="AE387089" s="34"/>
      <c r="AF387089" s="34"/>
    </row>
    <row r="387097" spans="31:32" x14ac:dyDescent="0.25">
      <c r="AE387097" s="36"/>
      <c r="AF387097" s="36"/>
    </row>
    <row r="387193" spans="31:32" x14ac:dyDescent="0.25">
      <c r="AE387193" s="34"/>
      <c r="AF387193" s="34"/>
    </row>
    <row r="387201" spans="31:32" x14ac:dyDescent="0.25">
      <c r="AE387201" s="36"/>
      <c r="AF387201" s="36"/>
    </row>
    <row r="387297" spans="31:32" x14ac:dyDescent="0.25">
      <c r="AE387297" s="34"/>
      <c r="AF387297" s="34"/>
    </row>
    <row r="387305" spans="31:32" x14ac:dyDescent="0.25">
      <c r="AE387305" s="36"/>
      <c r="AF387305" s="36"/>
    </row>
    <row r="387401" spans="31:32" x14ac:dyDescent="0.25">
      <c r="AE387401" s="34"/>
      <c r="AF387401" s="34"/>
    </row>
    <row r="387409" spans="31:32" x14ac:dyDescent="0.25">
      <c r="AE387409" s="36"/>
      <c r="AF387409" s="36"/>
    </row>
    <row r="387505" spans="31:32" x14ac:dyDescent="0.25">
      <c r="AE387505" s="34"/>
      <c r="AF387505" s="34"/>
    </row>
    <row r="387513" spans="31:32" x14ac:dyDescent="0.25">
      <c r="AE387513" s="36"/>
      <c r="AF387513" s="36"/>
    </row>
    <row r="387609" spans="31:32" x14ac:dyDescent="0.25">
      <c r="AE387609" s="34"/>
      <c r="AF387609" s="34"/>
    </row>
    <row r="387617" spans="31:32" x14ac:dyDescent="0.25">
      <c r="AE387617" s="36"/>
      <c r="AF387617" s="36"/>
    </row>
    <row r="387713" spans="31:32" x14ac:dyDescent="0.25">
      <c r="AE387713" s="34"/>
      <c r="AF387713" s="34"/>
    </row>
    <row r="387721" spans="31:32" x14ac:dyDescent="0.25">
      <c r="AE387721" s="36"/>
      <c r="AF387721" s="36"/>
    </row>
    <row r="387817" spans="31:32" x14ac:dyDescent="0.25">
      <c r="AE387817" s="34"/>
      <c r="AF387817" s="34"/>
    </row>
    <row r="387825" spans="31:32" x14ac:dyDescent="0.25">
      <c r="AE387825" s="36"/>
      <c r="AF387825" s="36"/>
    </row>
    <row r="387921" spans="31:32" x14ac:dyDescent="0.25">
      <c r="AE387921" s="34"/>
      <c r="AF387921" s="34"/>
    </row>
    <row r="387929" spans="31:32" x14ac:dyDescent="0.25">
      <c r="AE387929" s="36"/>
      <c r="AF387929" s="36"/>
    </row>
    <row r="388025" spans="31:32" x14ac:dyDescent="0.25">
      <c r="AE388025" s="34"/>
      <c r="AF388025" s="34"/>
    </row>
    <row r="388033" spans="31:32" x14ac:dyDescent="0.25">
      <c r="AE388033" s="36"/>
      <c r="AF388033" s="36"/>
    </row>
    <row r="388129" spans="31:32" x14ac:dyDescent="0.25">
      <c r="AE388129" s="34"/>
      <c r="AF388129" s="34"/>
    </row>
    <row r="388137" spans="31:32" x14ac:dyDescent="0.25">
      <c r="AE388137" s="36"/>
      <c r="AF388137" s="36"/>
    </row>
    <row r="388233" spans="31:32" x14ac:dyDescent="0.25">
      <c r="AE388233" s="34"/>
      <c r="AF388233" s="34"/>
    </row>
    <row r="388241" spans="31:32" x14ac:dyDescent="0.25">
      <c r="AE388241" s="36"/>
      <c r="AF388241" s="36"/>
    </row>
    <row r="388337" spans="31:32" x14ac:dyDescent="0.25">
      <c r="AE388337" s="34"/>
      <c r="AF388337" s="34"/>
    </row>
    <row r="388345" spans="31:32" x14ac:dyDescent="0.25">
      <c r="AE388345" s="36"/>
      <c r="AF388345" s="36"/>
    </row>
    <row r="388441" spans="31:32" x14ac:dyDescent="0.25">
      <c r="AE388441" s="34"/>
      <c r="AF388441" s="34"/>
    </row>
    <row r="388449" spans="31:32" x14ac:dyDescent="0.25">
      <c r="AE388449" s="36"/>
      <c r="AF388449" s="36"/>
    </row>
    <row r="388545" spans="31:32" x14ac:dyDescent="0.25">
      <c r="AE388545" s="34"/>
      <c r="AF388545" s="34"/>
    </row>
    <row r="388553" spans="31:32" x14ac:dyDescent="0.25">
      <c r="AE388553" s="36"/>
      <c r="AF388553" s="36"/>
    </row>
    <row r="388649" spans="31:32" x14ac:dyDescent="0.25">
      <c r="AE388649" s="34"/>
      <c r="AF388649" s="34"/>
    </row>
    <row r="388657" spans="31:32" x14ac:dyDescent="0.25">
      <c r="AE388657" s="36"/>
      <c r="AF388657" s="36"/>
    </row>
    <row r="388753" spans="31:32" x14ac:dyDescent="0.25">
      <c r="AE388753" s="34"/>
      <c r="AF388753" s="34"/>
    </row>
    <row r="388761" spans="31:32" x14ac:dyDescent="0.25">
      <c r="AE388761" s="36"/>
      <c r="AF388761" s="36"/>
    </row>
    <row r="388857" spans="31:32" x14ac:dyDescent="0.25">
      <c r="AE388857" s="34"/>
      <c r="AF388857" s="34"/>
    </row>
    <row r="388865" spans="31:32" x14ac:dyDescent="0.25">
      <c r="AE388865" s="36"/>
      <c r="AF388865" s="36"/>
    </row>
    <row r="388961" spans="31:32" x14ac:dyDescent="0.25">
      <c r="AE388961" s="34"/>
      <c r="AF388961" s="34"/>
    </row>
    <row r="388969" spans="31:32" x14ac:dyDescent="0.25">
      <c r="AE388969" s="36"/>
      <c r="AF388969" s="36"/>
    </row>
    <row r="389065" spans="31:32" x14ac:dyDescent="0.25">
      <c r="AE389065" s="34"/>
      <c r="AF389065" s="34"/>
    </row>
    <row r="389073" spans="31:32" x14ac:dyDescent="0.25">
      <c r="AE389073" s="36"/>
      <c r="AF389073" s="36"/>
    </row>
    <row r="389169" spans="31:32" x14ac:dyDescent="0.25">
      <c r="AE389169" s="34"/>
      <c r="AF389169" s="34"/>
    </row>
    <row r="389177" spans="31:32" x14ac:dyDescent="0.25">
      <c r="AE389177" s="36"/>
      <c r="AF389177" s="36"/>
    </row>
    <row r="389273" spans="31:32" x14ac:dyDescent="0.25">
      <c r="AE389273" s="34"/>
      <c r="AF389273" s="34"/>
    </row>
    <row r="389281" spans="31:32" x14ac:dyDescent="0.25">
      <c r="AE389281" s="36"/>
      <c r="AF389281" s="36"/>
    </row>
    <row r="389377" spans="31:32" x14ac:dyDescent="0.25">
      <c r="AE389377" s="34"/>
      <c r="AF389377" s="34"/>
    </row>
    <row r="389385" spans="31:32" x14ac:dyDescent="0.25">
      <c r="AE389385" s="36"/>
      <c r="AF389385" s="36"/>
    </row>
    <row r="389481" spans="31:32" x14ac:dyDescent="0.25">
      <c r="AE389481" s="34"/>
      <c r="AF389481" s="34"/>
    </row>
    <row r="389489" spans="31:32" x14ac:dyDescent="0.25">
      <c r="AE389489" s="36"/>
      <c r="AF389489" s="36"/>
    </row>
    <row r="389585" spans="31:32" x14ac:dyDescent="0.25">
      <c r="AE389585" s="34"/>
      <c r="AF389585" s="34"/>
    </row>
    <row r="389593" spans="31:32" x14ac:dyDescent="0.25">
      <c r="AE389593" s="36"/>
      <c r="AF389593" s="36"/>
    </row>
    <row r="389689" spans="31:32" x14ac:dyDescent="0.25">
      <c r="AE389689" s="34"/>
      <c r="AF389689" s="34"/>
    </row>
    <row r="389697" spans="31:32" x14ac:dyDescent="0.25">
      <c r="AE389697" s="36"/>
      <c r="AF389697" s="36"/>
    </row>
    <row r="389793" spans="31:32" x14ac:dyDescent="0.25">
      <c r="AE389793" s="34"/>
      <c r="AF389793" s="34"/>
    </row>
    <row r="389801" spans="31:32" x14ac:dyDescent="0.25">
      <c r="AE389801" s="36"/>
      <c r="AF389801" s="36"/>
    </row>
    <row r="389897" spans="31:32" x14ac:dyDescent="0.25">
      <c r="AE389897" s="34"/>
      <c r="AF389897" s="34"/>
    </row>
    <row r="389905" spans="31:32" x14ac:dyDescent="0.25">
      <c r="AE389905" s="36"/>
      <c r="AF389905" s="36"/>
    </row>
    <row r="390001" spans="31:32" x14ac:dyDescent="0.25">
      <c r="AE390001" s="34"/>
      <c r="AF390001" s="34"/>
    </row>
    <row r="390009" spans="31:32" x14ac:dyDescent="0.25">
      <c r="AE390009" s="36"/>
      <c r="AF390009" s="36"/>
    </row>
    <row r="390105" spans="31:32" x14ac:dyDescent="0.25">
      <c r="AE390105" s="34"/>
      <c r="AF390105" s="34"/>
    </row>
    <row r="390113" spans="31:32" x14ac:dyDescent="0.25">
      <c r="AE390113" s="36"/>
      <c r="AF390113" s="36"/>
    </row>
    <row r="390209" spans="31:32" x14ac:dyDescent="0.25">
      <c r="AE390209" s="34"/>
      <c r="AF390209" s="34"/>
    </row>
    <row r="390217" spans="31:32" x14ac:dyDescent="0.25">
      <c r="AE390217" s="36"/>
      <c r="AF390217" s="36"/>
    </row>
    <row r="390313" spans="31:32" x14ac:dyDescent="0.25">
      <c r="AE390313" s="34"/>
      <c r="AF390313" s="34"/>
    </row>
    <row r="390321" spans="31:32" x14ac:dyDescent="0.25">
      <c r="AE390321" s="36"/>
      <c r="AF390321" s="36"/>
    </row>
    <row r="390417" spans="31:32" x14ac:dyDescent="0.25">
      <c r="AE390417" s="34"/>
      <c r="AF390417" s="34"/>
    </row>
    <row r="390425" spans="31:32" x14ac:dyDescent="0.25">
      <c r="AE390425" s="36"/>
      <c r="AF390425" s="36"/>
    </row>
    <row r="390521" spans="31:32" x14ac:dyDescent="0.25">
      <c r="AE390521" s="34"/>
      <c r="AF390521" s="34"/>
    </row>
    <row r="390529" spans="31:32" x14ac:dyDescent="0.25">
      <c r="AE390529" s="36"/>
      <c r="AF390529" s="36"/>
    </row>
    <row r="390625" spans="31:32" x14ac:dyDescent="0.25">
      <c r="AE390625" s="34"/>
      <c r="AF390625" s="34"/>
    </row>
    <row r="390633" spans="31:32" x14ac:dyDescent="0.25">
      <c r="AE390633" s="36"/>
      <c r="AF390633" s="36"/>
    </row>
    <row r="390729" spans="31:32" x14ac:dyDescent="0.25">
      <c r="AE390729" s="34"/>
      <c r="AF390729" s="34"/>
    </row>
    <row r="390737" spans="31:32" x14ac:dyDescent="0.25">
      <c r="AE390737" s="36"/>
      <c r="AF390737" s="36"/>
    </row>
    <row r="390833" spans="31:32" x14ac:dyDescent="0.25">
      <c r="AE390833" s="34"/>
      <c r="AF390833" s="34"/>
    </row>
    <row r="390841" spans="31:32" x14ac:dyDescent="0.25">
      <c r="AE390841" s="36"/>
      <c r="AF390841" s="36"/>
    </row>
    <row r="390937" spans="31:32" x14ac:dyDescent="0.25">
      <c r="AE390937" s="34"/>
      <c r="AF390937" s="34"/>
    </row>
    <row r="390945" spans="31:32" x14ac:dyDescent="0.25">
      <c r="AE390945" s="36"/>
      <c r="AF390945" s="36"/>
    </row>
    <row r="391041" spans="31:32" x14ac:dyDescent="0.25">
      <c r="AE391041" s="34"/>
      <c r="AF391041" s="34"/>
    </row>
    <row r="391049" spans="31:32" x14ac:dyDescent="0.25">
      <c r="AE391049" s="36"/>
      <c r="AF391049" s="36"/>
    </row>
    <row r="391145" spans="31:32" x14ac:dyDescent="0.25">
      <c r="AE391145" s="34"/>
      <c r="AF391145" s="34"/>
    </row>
    <row r="391153" spans="31:32" x14ac:dyDescent="0.25">
      <c r="AE391153" s="36"/>
      <c r="AF391153" s="36"/>
    </row>
    <row r="391249" spans="31:32" x14ac:dyDescent="0.25">
      <c r="AE391249" s="34"/>
      <c r="AF391249" s="34"/>
    </row>
    <row r="391257" spans="31:32" x14ac:dyDescent="0.25">
      <c r="AE391257" s="36"/>
      <c r="AF391257" s="36"/>
    </row>
    <row r="391353" spans="31:32" x14ac:dyDescent="0.25">
      <c r="AE391353" s="34"/>
      <c r="AF391353" s="34"/>
    </row>
    <row r="391361" spans="31:32" x14ac:dyDescent="0.25">
      <c r="AE391361" s="36"/>
      <c r="AF391361" s="36"/>
    </row>
    <row r="391457" spans="31:32" x14ac:dyDescent="0.25">
      <c r="AE391457" s="34"/>
      <c r="AF391457" s="34"/>
    </row>
    <row r="391465" spans="31:32" x14ac:dyDescent="0.25">
      <c r="AE391465" s="36"/>
      <c r="AF391465" s="36"/>
    </row>
    <row r="391561" spans="31:32" x14ac:dyDescent="0.25">
      <c r="AE391561" s="34"/>
      <c r="AF391561" s="34"/>
    </row>
    <row r="391569" spans="31:32" x14ac:dyDescent="0.25">
      <c r="AE391569" s="36"/>
      <c r="AF391569" s="36"/>
    </row>
    <row r="391665" spans="31:32" x14ac:dyDescent="0.25">
      <c r="AE391665" s="34"/>
      <c r="AF391665" s="34"/>
    </row>
    <row r="391673" spans="31:32" x14ac:dyDescent="0.25">
      <c r="AE391673" s="36"/>
      <c r="AF391673" s="36"/>
    </row>
    <row r="391769" spans="31:32" x14ac:dyDescent="0.25">
      <c r="AE391769" s="34"/>
      <c r="AF391769" s="34"/>
    </row>
    <row r="391777" spans="31:32" x14ac:dyDescent="0.25">
      <c r="AE391777" s="36"/>
      <c r="AF391777" s="36"/>
    </row>
    <row r="391873" spans="31:32" x14ac:dyDescent="0.25">
      <c r="AE391873" s="34"/>
      <c r="AF391873" s="34"/>
    </row>
    <row r="391881" spans="31:32" x14ac:dyDescent="0.25">
      <c r="AE391881" s="36"/>
      <c r="AF391881" s="36"/>
    </row>
    <row r="391977" spans="31:32" x14ac:dyDescent="0.25">
      <c r="AE391977" s="34"/>
      <c r="AF391977" s="34"/>
    </row>
    <row r="391985" spans="31:32" x14ac:dyDescent="0.25">
      <c r="AE391985" s="36"/>
      <c r="AF391985" s="36"/>
    </row>
    <row r="392081" spans="31:32" x14ac:dyDescent="0.25">
      <c r="AE392081" s="34"/>
      <c r="AF392081" s="34"/>
    </row>
    <row r="392089" spans="31:32" x14ac:dyDescent="0.25">
      <c r="AE392089" s="36"/>
      <c r="AF392089" s="36"/>
    </row>
    <row r="392185" spans="31:32" x14ac:dyDescent="0.25">
      <c r="AE392185" s="34"/>
      <c r="AF392185" s="34"/>
    </row>
    <row r="392193" spans="31:32" x14ac:dyDescent="0.25">
      <c r="AE392193" s="36"/>
      <c r="AF392193" s="36"/>
    </row>
    <row r="392289" spans="31:32" x14ac:dyDescent="0.25">
      <c r="AE392289" s="34"/>
      <c r="AF392289" s="34"/>
    </row>
    <row r="392297" spans="31:32" x14ac:dyDescent="0.25">
      <c r="AE392297" s="36"/>
      <c r="AF392297" s="36"/>
    </row>
    <row r="392393" spans="31:32" x14ac:dyDescent="0.25">
      <c r="AE392393" s="34"/>
      <c r="AF392393" s="34"/>
    </row>
    <row r="392401" spans="31:32" x14ac:dyDescent="0.25">
      <c r="AE392401" s="36"/>
      <c r="AF392401" s="36"/>
    </row>
    <row r="392497" spans="31:32" x14ac:dyDescent="0.25">
      <c r="AE392497" s="34"/>
      <c r="AF392497" s="34"/>
    </row>
    <row r="392505" spans="31:32" x14ac:dyDescent="0.25">
      <c r="AE392505" s="36"/>
      <c r="AF392505" s="36"/>
    </row>
    <row r="392601" spans="31:32" x14ac:dyDescent="0.25">
      <c r="AE392601" s="34"/>
      <c r="AF392601" s="34"/>
    </row>
    <row r="392609" spans="31:32" x14ac:dyDescent="0.25">
      <c r="AE392609" s="36"/>
      <c r="AF392609" s="36"/>
    </row>
    <row r="392705" spans="31:32" x14ac:dyDescent="0.25">
      <c r="AE392705" s="34"/>
      <c r="AF392705" s="34"/>
    </row>
    <row r="392713" spans="31:32" x14ac:dyDescent="0.25">
      <c r="AE392713" s="36"/>
      <c r="AF392713" s="36"/>
    </row>
    <row r="392809" spans="31:32" x14ac:dyDescent="0.25">
      <c r="AE392809" s="34"/>
      <c r="AF392809" s="34"/>
    </row>
    <row r="392817" spans="31:32" x14ac:dyDescent="0.25">
      <c r="AE392817" s="36"/>
      <c r="AF392817" s="36"/>
    </row>
    <row r="392913" spans="31:32" x14ac:dyDescent="0.25">
      <c r="AE392913" s="34"/>
      <c r="AF392913" s="34"/>
    </row>
    <row r="392921" spans="31:32" x14ac:dyDescent="0.25">
      <c r="AE392921" s="36"/>
      <c r="AF392921" s="36"/>
    </row>
    <row r="393017" spans="31:32" x14ac:dyDescent="0.25">
      <c r="AE393017" s="34"/>
      <c r="AF393017" s="34"/>
    </row>
    <row r="393025" spans="31:32" x14ac:dyDescent="0.25">
      <c r="AE393025" s="36"/>
      <c r="AF393025" s="36"/>
    </row>
    <row r="393121" spans="31:32" x14ac:dyDescent="0.25">
      <c r="AE393121" s="34"/>
      <c r="AF393121" s="34"/>
    </row>
    <row r="393129" spans="31:32" x14ac:dyDescent="0.25">
      <c r="AE393129" s="36"/>
      <c r="AF393129" s="36"/>
    </row>
    <row r="393225" spans="31:32" x14ac:dyDescent="0.25">
      <c r="AE393225" s="34"/>
      <c r="AF393225" s="34"/>
    </row>
    <row r="393233" spans="31:32" x14ac:dyDescent="0.25">
      <c r="AE393233" s="36"/>
      <c r="AF393233" s="36"/>
    </row>
    <row r="393329" spans="31:32" x14ac:dyDescent="0.25">
      <c r="AE393329" s="34"/>
      <c r="AF393329" s="34"/>
    </row>
    <row r="393337" spans="31:32" x14ac:dyDescent="0.25">
      <c r="AE393337" s="36"/>
      <c r="AF393337" s="36"/>
    </row>
    <row r="393433" spans="31:32" x14ac:dyDescent="0.25">
      <c r="AE393433" s="34"/>
      <c r="AF393433" s="34"/>
    </row>
    <row r="393441" spans="31:32" x14ac:dyDescent="0.25">
      <c r="AE393441" s="36"/>
      <c r="AF393441" s="36"/>
    </row>
    <row r="393537" spans="31:32" x14ac:dyDescent="0.25">
      <c r="AE393537" s="34"/>
      <c r="AF393537" s="34"/>
    </row>
    <row r="393545" spans="31:32" x14ac:dyDescent="0.25">
      <c r="AE393545" s="36"/>
      <c r="AF393545" s="36"/>
    </row>
    <row r="393641" spans="31:32" x14ac:dyDescent="0.25">
      <c r="AE393641" s="34"/>
      <c r="AF393641" s="34"/>
    </row>
    <row r="393649" spans="31:32" x14ac:dyDescent="0.25">
      <c r="AE393649" s="36"/>
      <c r="AF393649" s="36"/>
    </row>
    <row r="393745" spans="31:32" x14ac:dyDescent="0.25">
      <c r="AE393745" s="34"/>
      <c r="AF393745" s="34"/>
    </row>
    <row r="393753" spans="31:32" x14ac:dyDescent="0.25">
      <c r="AE393753" s="36"/>
      <c r="AF393753" s="36"/>
    </row>
    <row r="393849" spans="31:32" x14ac:dyDescent="0.25">
      <c r="AE393849" s="34"/>
      <c r="AF393849" s="34"/>
    </row>
    <row r="393857" spans="31:32" x14ac:dyDescent="0.25">
      <c r="AE393857" s="36"/>
      <c r="AF393857" s="36"/>
    </row>
    <row r="393953" spans="31:32" x14ac:dyDescent="0.25">
      <c r="AE393953" s="34"/>
      <c r="AF393953" s="34"/>
    </row>
    <row r="393961" spans="31:32" x14ac:dyDescent="0.25">
      <c r="AE393961" s="36"/>
      <c r="AF393961" s="36"/>
    </row>
    <row r="394057" spans="31:32" x14ac:dyDescent="0.25">
      <c r="AE394057" s="34"/>
      <c r="AF394057" s="34"/>
    </row>
    <row r="394065" spans="31:32" x14ac:dyDescent="0.25">
      <c r="AE394065" s="36"/>
      <c r="AF394065" s="36"/>
    </row>
    <row r="394161" spans="31:32" x14ac:dyDescent="0.25">
      <c r="AE394161" s="34"/>
      <c r="AF394161" s="34"/>
    </row>
    <row r="394169" spans="31:32" x14ac:dyDescent="0.25">
      <c r="AE394169" s="36"/>
      <c r="AF394169" s="36"/>
    </row>
    <row r="394265" spans="31:32" x14ac:dyDescent="0.25">
      <c r="AE394265" s="34"/>
      <c r="AF394265" s="34"/>
    </row>
    <row r="394273" spans="31:32" x14ac:dyDescent="0.25">
      <c r="AE394273" s="36"/>
      <c r="AF394273" s="36"/>
    </row>
    <row r="394369" spans="31:32" x14ac:dyDescent="0.25">
      <c r="AE394369" s="34"/>
      <c r="AF394369" s="34"/>
    </row>
    <row r="394377" spans="31:32" x14ac:dyDescent="0.25">
      <c r="AE394377" s="36"/>
      <c r="AF394377" s="36"/>
    </row>
    <row r="394473" spans="31:32" x14ac:dyDescent="0.25">
      <c r="AE394473" s="34"/>
      <c r="AF394473" s="34"/>
    </row>
    <row r="394481" spans="31:32" x14ac:dyDescent="0.25">
      <c r="AE394481" s="36"/>
      <c r="AF394481" s="36"/>
    </row>
    <row r="394577" spans="31:32" x14ac:dyDescent="0.25">
      <c r="AE394577" s="34"/>
      <c r="AF394577" s="34"/>
    </row>
    <row r="394585" spans="31:32" x14ac:dyDescent="0.25">
      <c r="AE394585" s="36"/>
      <c r="AF394585" s="36"/>
    </row>
    <row r="394681" spans="31:32" x14ac:dyDescent="0.25">
      <c r="AE394681" s="34"/>
      <c r="AF394681" s="34"/>
    </row>
    <row r="394689" spans="31:32" x14ac:dyDescent="0.25">
      <c r="AE394689" s="36"/>
      <c r="AF394689" s="36"/>
    </row>
    <row r="394785" spans="31:32" x14ac:dyDescent="0.25">
      <c r="AE394785" s="34"/>
      <c r="AF394785" s="34"/>
    </row>
    <row r="394793" spans="31:32" x14ac:dyDescent="0.25">
      <c r="AE394793" s="36"/>
      <c r="AF394793" s="36"/>
    </row>
    <row r="394889" spans="31:32" x14ac:dyDescent="0.25">
      <c r="AE394889" s="34"/>
      <c r="AF394889" s="34"/>
    </row>
    <row r="394897" spans="31:32" x14ac:dyDescent="0.25">
      <c r="AE394897" s="36"/>
      <c r="AF394897" s="36"/>
    </row>
    <row r="394993" spans="31:32" x14ac:dyDescent="0.25">
      <c r="AE394993" s="34"/>
      <c r="AF394993" s="34"/>
    </row>
    <row r="395001" spans="31:32" x14ac:dyDescent="0.25">
      <c r="AE395001" s="36"/>
      <c r="AF395001" s="36"/>
    </row>
    <row r="395097" spans="31:32" x14ac:dyDescent="0.25">
      <c r="AE395097" s="34"/>
      <c r="AF395097" s="34"/>
    </row>
    <row r="395105" spans="31:32" x14ac:dyDescent="0.25">
      <c r="AE395105" s="36"/>
      <c r="AF395105" s="36"/>
    </row>
    <row r="395201" spans="31:32" x14ac:dyDescent="0.25">
      <c r="AE395201" s="34"/>
      <c r="AF395201" s="34"/>
    </row>
    <row r="395209" spans="31:32" x14ac:dyDescent="0.25">
      <c r="AE395209" s="36"/>
      <c r="AF395209" s="36"/>
    </row>
    <row r="395305" spans="31:32" x14ac:dyDescent="0.25">
      <c r="AE395305" s="34"/>
      <c r="AF395305" s="34"/>
    </row>
    <row r="395313" spans="31:32" x14ac:dyDescent="0.25">
      <c r="AE395313" s="36"/>
      <c r="AF395313" s="36"/>
    </row>
    <row r="395409" spans="31:32" x14ac:dyDescent="0.25">
      <c r="AE395409" s="34"/>
      <c r="AF395409" s="34"/>
    </row>
    <row r="395417" spans="31:32" x14ac:dyDescent="0.25">
      <c r="AE395417" s="36"/>
      <c r="AF395417" s="36"/>
    </row>
    <row r="395513" spans="31:32" x14ac:dyDescent="0.25">
      <c r="AE395513" s="34"/>
      <c r="AF395513" s="34"/>
    </row>
    <row r="395521" spans="31:32" x14ac:dyDescent="0.25">
      <c r="AE395521" s="36"/>
      <c r="AF395521" s="36"/>
    </row>
    <row r="395617" spans="31:32" x14ac:dyDescent="0.25">
      <c r="AE395617" s="34"/>
      <c r="AF395617" s="34"/>
    </row>
    <row r="395625" spans="31:32" x14ac:dyDescent="0.25">
      <c r="AE395625" s="36"/>
      <c r="AF395625" s="36"/>
    </row>
    <row r="395721" spans="31:32" x14ac:dyDescent="0.25">
      <c r="AE395721" s="34"/>
      <c r="AF395721" s="34"/>
    </row>
    <row r="395729" spans="31:32" x14ac:dyDescent="0.25">
      <c r="AE395729" s="36"/>
      <c r="AF395729" s="36"/>
    </row>
    <row r="395825" spans="31:32" x14ac:dyDescent="0.25">
      <c r="AE395825" s="34"/>
      <c r="AF395825" s="34"/>
    </row>
    <row r="395833" spans="31:32" x14ac:dyDescent="0.25">
      <c r="AE395833" s="36"/>
      <c r="AF395833" s="36"/>
    </row>
    <row r="395929" spans="31:32" x14ac:dyDescent="0.25">
      <c r="AE395929" s="34"/>
      <c r="AF395929" s="34"/>
    </row>
    <row r="395937" spans="31:32" x14ac:dyDescent="0.25">
      <c r="AE395937" s="36"/>
      <c r="AF395937" s="36"/>
    </row>
    <row r="396033" spans="31:32" x14ac:dyDescent="0.25">
      <c r="AE396033" s="34"/>
      <c r="AF396033" s="34"/>
    </row>
    <row r="396041" spans="31:32" x14ac:dyDescent="0.25">
      <c r="AE396041" s="36"/>
      <c r="AF396041" s="36"/>
    </row>
    <row r="396137" spans="31:32" x14ac:dyDescent="0.25">
      <c r="AE396137" s="34"/>
      <c r="AF396137" s="34"/>
    </row>
    <row r="396145" spans="31:32" x14ac:dyDescent="0.25">
      <c r="AE396145" s="36"/>
      <c r="AF396145" s="36"/>
    </row>
    <row r="396241" spans="31:32" x14ac:dyDescent="0.25">
      <c r="AE396241" s="34"/>
      <c r="AF396241" s="34"/>
    </row>
    <row r="396249" spans="31:32" x14ac:dyDescent="0.25">
      <c r="AE396249" s="36"/>
      <c r="AF396249" s="36"/>
    </row>
    <row r="396345" spans="31:32" x14ac:dyDescent="0.25">
      <c r="AE396345" s="34"/>
      <c r="AF396345" s="34"/>
    </row>
    <row r="396353" spans="31:32" x14ac:dyDescent="0.25">
      <c r="AE396353" s="36"/>
      <c r="AF396353" s="36"/>
    </row>
    <row r="396449" spans="31:32" x14ac:dyDescent="0.25">
      <c r="AE396449" s="34"/>
      <c r="AF396449" s="34"/>
    </row>
    <row r="396457" spans="31:32" x14ac:dyDescent="0.25">
      <c r="AE396457" s="36"/>
      <c r="AF396457" s="36"/>
    </row>
    <row r="396553" spans="31:32" x14ac:dyDescent="0.25">
      <c r="AE396553" s="34"/>
      <c r="AF396553" s="34"/>
    </row>
    <row r="396561" spans="31:32" x14ac:dyDescent="0.25">
      <c r="AE396561" s="36"/>
      <c r="AF396561" s="36"/>
    </row>
    <row r="396657" spans="31:32" x14ac:dyDescent="0.25">
      <c r="AE396657" s="34"/>
      <c r="AF396657" s="34"/>
    </row>
    <row r="396665" spans="31:32" x14ac:dyDescent="0.25">
      <c r="AE396665" s="36"/>
      <c r="AF396665" s="36"/>
    </row>
    <row r="396761" spans="31:32" x14ac:dyDescent="0.25">
      <c r="AE396761" s="34"/>
      <c r="AF396761" s="34"/>
    </row>
    <row r="396769" spans="31:32" x14ac:dyDescent="0.25">
      <c r="AE396769" s="36"/>
      <c r="AF396769" s="36"/>
    </row>
    <row r="396865" spans="31:32" x14ac:dyDescent="0.25">
      <c r="AE396865" s="34"/>
      <c r="AF396865" s="34"/>
    </row>
    <row r="396873" spans="31:32" x14ac:dyDescent="0.25">
      <c r="AE396873" s="36"/>
      <c r="AF396873" s="36"/>
    </row>
    <row r="396969" spans="31:32" x14ac:dyDescent="0.25">
      <c r="AE396969" s="34"/>
      <c r="AF396969" s="34"/>
    </row>
    <row r="396977" spans="31:32" x14ac:dyDescent="0.25">
      <c r="AE396977" s="36"/>
      <c r="AF396977" s="36"/>
    </row>
    <row r="397073" spans="31:32" x14ac:dyDescent="0.25">
      <c r="AE397073" s="34"/>
      <c r="AF397073" s="34"/>
    </row>
    <row r="397081" spans="31:32" x14ac:dyDescent="0.25">
      <c r="AE397081" s="36"/>
      <c r="AF397081" s="36"/>
    </row>
    <row r="397177" spans="31:32" x14ac:dyDescent="0.25">
      <c r="AE397177" s="34"/>
      <c r="AF397177" s="34"/>
    </row>
    <row r="397185" spans="31:32" x14ac:dyDescent="0.25">
      <c r="AE397185" s="36"/>
      <c r="AF397185" s="36"/>
    </row>
    <row r="397281" spans="31:32" x14ac:dyDescent="0.25">
      <c r="AE397281" s="34"/>
      <c r="AF397281" s="34"/>
    </row>
    <row r="397289" spans="31:32" x14ac:dyDescent="0.25">
      <c r="AE397289" s="36"/>
      <c r="AF397289" s="36"/>
    </row>
    <row r="397385" spans="31:32" x14ac:dyDescent="0.25">
      <c r="AE397385" s="34"/>
      <c r="AF397385" s="34"/>
    </row>
    <row r="397393" spans="31:32" x14ac:dyDescent="0.25">
      <c r="AE397393" s="36"/>
      <c r="AF397393" s="36"/>
    </row>
    <row r="397489" spans="31:32" x14ac:dyDescent="0.25">
      <c r="AE397489" s="34"/>
      <c r="AF397489" s="34"/>
    </row>
    <row r="397497" spans="31:32" x14ac:dyDescent="0.25">
      <c r="AE397497" s="36"/>
      <c r="AF397497" s="36"/>
    </row>
    <row r="397593" spans="31:32" x14ac:dyDescent="0.25">
      <c r="AE397593" s="34"/>
      <c r="AF397593" s="34"/>
    </row>
    <row r="397601" spans="31:32" x14ac:dyDescent="0.25">
      <c r="AE397601" s="36"/>
      <c r="AF397601" s="36"/>
    </row>
    <row r="397697" spans="31:32" x14ac:dyDescent="0.25">
      <c r="AE397697" s="34"/>
      <c r="AF397697" s="34"/>
    </row>
    <row r="397705" spans="31:32" x14ac:dyDescent="0.25">
      <c r="AE397705" s="36"/>
      <c r="AF397705" s="36"/>
    </row>
    <row r="397801" spans="31:32" x14ac:dyDescent="0.25">
      <c r="AE397801" s="34"/>
      <c r="AF397801" s="34"/>
    </row>
    <row r="397809" spans="31:32" x14ac:dyDescent="0.25">
      <c r="AE397809" s="36"/>
      <c r="AF397809" s="36"/>
    </row>
    <row r="397905" spans="31:32" x14ac:dyDescent="0.25">
      <c r="AE397905" s="34"/>
      <c r="AF397905" s="34"/>
    </row>
    <row r="397913" spans="31:32" x14ac:dyDescent="0.25">
      <c r="AE397913" s="36"/>
      <c r="AF397913" s="36"/>
    </row>
    <row r="398009" spans="31:32" x14ac:dyDescent="0.25">
      <c r="AE398009" s="34"/>
      <c r="AF398009" s="34"/>
    </row>
    <row r="398017" spans="31:32" x14ac:dyDescent="0.25">
      <c r="AE398017" s="36"/>
      <c r="AF398017" s="36"/>
    </row>
    <row r="398113" spans="31:32" x14ac:dyDescent="0.25">
      <c r="AE398113" s="34"/>
      <c r="AF398113" s="34"/>
    </row>
    <row r="398121" spans="31:32" x14ac:dyDescent="0.25">
      <c r="AE398121" s="36"/>
      <c r="AF398121" s="36"/>
    </row>
    <row r="398217" spans="31:32" x14ac:dyDescent="0.25">
      <c r="AE398217" s="34"/>
      <c r="AF398217" s="34"/>
    </row>
    <row r="398225" spans="31:32" x14ac:dyDescent="0.25">
      <c r="AE398225" s="36"/>
      <c r="AF398225" s="36"/>
    </row>
    <row r="398321" spans="31:32" x14ac:dyDescent="0.25">
      <c r="AE398321" s="34"/>
      <c r="AF398321" s="34"/>
    </row>
    <row r="398329" spans="31:32" x14ac:dyDescent="0.25">
      <c r="AE398329" s="36"/>
      <c r="AF398329" s="36"/>
    </row>
    <row r="398425" spans="31:32" x14ac:dyDescent="0.25">
      <c r="AE398425" s="34"/>
      <c r="AF398425" s="34"/>
    </row>
    <row r="398433" spans="31:32" x14ac:dyDescent="0.25">
      <c r="AE398433" s="36"/>
      <c r="AF398433" s="36"/>
    </row>
    <row r="398529" spans="31:32" x14ac:dyDescent="0.25">
      <c r="AE398529" s="34"/>
      <c r="AF398529" s="34"/>
    </row>
    <row r="398537" spans="31:32" x14ac:dyDescent="0.25">
      <c r="AE398537" s="36"/>
      <c r="AF398537" s="36"/>
    </row>
    <row r="398633" spans="31:32" x14ac:dyDescent="0.25">
      <c r="AE398633" s="34"/>
      <c r="AF398633" s="34"/>
    </row>
    <row r="398641" spans="31:32" x14ac:dyDescent="0.25">
      <c r="AE398641" s="36"/>
      <c r="AF398641" s="36"/>
    </row>
    <row r="398737" spans="31:32" x14ac:dyDescent="0.25">
      <c r="AE398737" s="34"/>
      <c r="AF398737" s="34"/>
    </row>
    <row r="398745" spans="31:32" x14ac:dyDescent="0.25">
      <c r="AE398745" s="36"/>
      <c r="AF398745" s="36"/>
    </row>
    <row r="398841" spans="31:32" x14ac:dyDescent="0.25">
      <c r="AE398841" s="34"/>
      <c r="AF398841" s="34"/>
    </row>
    <row r="398849" spans="31:32" x14ac:dyDescent="0.25">
      <c r="AE398849" s="36"/>
      <c r="AF398849" s="36"/>
    </row>
    <row r="398945" spans="31:32" x14ac:dyDescent="0.25">
      <c r="AE398945" s="34"/>
      <c r="AF398945" s="34"/>
    </row>
    <row r="398953" spans="31:32" x14ac:dyDescent="0.25">
      <c r="AE398953" s="36"/>
      <c r="AF398953" s="36"/>
    </row>
    <row r="399049" spans="31:32" x14ac:dyDescent="0.25">
      <c r="AE399049" s="34"/>
      <c r="AF399049" s="34"/>
    </row>
    <row r="399057" spans="31:32" x14ac:dyDescent="0.25">
      <c r="AE399057" s="36"/>
      <c r="AF399057" s="36"/>
    </row>
    <row r="399153" spans="31:32" x14ac:dyDescent="0.25">
      <c r="AE399153" s="34"/>
      <c r="AF399153" s="34"/>
    </row>
    <row r="399161" spans="31:32" x14ac:dyDescent="0.25">
      <c r="AE399161" s="36"/>
      <c r="AF399161" s="36"/>
    </row>
    <row r="399257" spans="31:32" x14ac:dyDescent="0.25">
      <c r="AE399257" s="34"/>
      <c r="AF399257" s="34"/>
    </row>
    <row r="399265" spans="31:32" x14ac:dyDescent="0.25">
      <c r="AE399265" s="36"/>
      <c r="AF399265" s="36"/>
    </row>
    <row r="399361" spans="31:32" x14ac:dyDescent="0.25">
      <c r="AE399361" s="34"/>
      <c r="AF399361" s="34"/>
    </row>
    <row r="399369" spans="31:32" x14ac:dyDescent="0.25">
      <c r="AE399369" s="36"/>
      <c r="AF399369" s="36"/>
    </row>
    <row r="399465" spans="31:32" x14ac:dyDescent="0.25">
      <c r="AE399465" s="34"/>
      <c r="AF399465" s="34"/>
    </row>
    <row r="399473" spans="31:32" x14ac:dyDescent="0.25">
      <c r="AE399473" s="36"/>
      <c r="AF399473" s="36"/>
    </row>
    <row r="399569" spans="31:32" x14ac:dyDescent="0.25">
      <c r="AE399569" s="34"/>
      <c r="AF399569" s="34"/>
    </row>
    <row r="399577" spans="31:32" x14ac:dyDescent="0.25">
      <c r="AE399577" s="36"/>
      <c r="AF399577" s="36"/>
    </row>
    <row r="399673" spans="31:32" x14ac:dyDescent="0.25">
      <c r="AE399673" s="34"/>
      <c r="AF399673" s="34"/>
    </row>
    <row r="399681" spans="31:32" x14ac:dyDescent="0.25">
      <c r="AE399681" s="36"/>
      <c r="AF399681" s="36"/>
    </row>
    <row r="399777" spans="31:32" x14ac:dyDescent="0.25">
      <c r="AE399777" s="34"/>
      <c r="AF399777" s="34"/>
    </row>
    <row r="399785" spans="31:32" x14ac:dyDescent="0.25">
      <c r="AE399785" s="36"/>
      <c r="AF399785" s="36"/>
    </row>
    <row r="399881" spans="31:32" x14ac:dyDescent="0.25">
      <c r="AE399881" s="34"/>
      <c r="AF399881" s="34"/>
    </row>
    <row r="399889" spans="31:32" x14ac:dyDescent="0.25">
      <c r="AE399889" s="36"/>
      <c r="AF399889" s="36"/>
    </row>
    <row r="399985" spans="31:32" x14ac:dyDescent="0.25">
      <c r="AE399985" s="34"/>
      <c r="AF399985" s="34"/>
    </row>
    <row r="399993" spans="31:32" x14ac:dyDescent="0.25">
      <c r="AE399993" s="36"/>
      <c r="AF399993" s="36"/>
    </row>
    <row r="400089" spans="31:32" x14ac:dyDescent="0.25">
      <c r="AE400089" s="34"/>
      <c r="AF400089" s="34"/>
    </row>
    <row r="400097" spans="31:32" x14ac:dyDescent="0.25">
      <c r="AE400097" s="36"/>
      <c r="AF400097" s="36"/>
    </row>
    <row r="400193" spans="31:32" x14ac:dyDescent="0.25">
      <c r="AE400193" s="34"/>
      <c r="AF400193" s="34"/>
    </row>
    <row r="400201" spans="31:32" x14ac:dyDescent="0.25">
      <c r="AE400201" s="36"/>
      <c r="AF400201" s="36"/>
    </row>
    <row r="400297" spans="31:32" x14ac:dyDescent="0.25">
      <c r="AE400297" s="34"/>
      <c r="AF400297" s="34"/>
    </row>
    <row r="400305" spans="31:32" x14ac:dyDescent="0.25">
      <c r="AE400305" s="36"/>
      <c r="AF400305" s="36"/>
    </row>
    <row r="400401" spans="31:32" x14ac:dyDescent="0.25">
      <c r="AE400401" s="34"/>
      <c r="AF400401" s="34"/>
    </row>
    <row r="400409" spans="31:32" x14ac:dyDescent="0.25">
      <c r="AE400409" s="36"/>
      <c r="AF400409" s="36"/>
    </row>
    <row r="400505" spans="31:32" x14ac:dyDescent="0.25">
      <c r="AE400505" s="34"/>
      <c r="AF400505" s="34"/>
    </row>
    <row r="400513" spans="31:32" x14ac:dyDescent="0.25">
      <c r="AE400513" s="36"/>
      <c r="AF400513" s="36"/>
    </row>
    <row r="400609" spans="31:32" x14ac:dyDescent="0.25">
      <c r="AE400609" s="34"/>
      <c r="AF400609" s="34"/>
    </row>
    <row r="400617" spans="31:32" x14ac:dyDescent="0.25">
      <c r="AE400617" s="36"/>
      <c r="AF400617" s="36"/>
    </row>
    <row r="400713" spans="31:32" x14ac:dyDescent="0.25">
      <c r="AE400713" s="34"/>
      <c r="AF400713" s="34"/>
    </row>
    <row r="400721" spans="31:32" x14ac:dyDescent="0.25">
      <c r="AE400721" s="36"/>
      <c r="AF400721" s="36"/>
    </row>
    <row r="400817" spans="31:32" x14ac:dyDescent="0.25">
      <c r="AE400817" s="34"/>
      <c r="AF400817" s="34"/>
    </row>
    <row r="400825" spans="31:32" x14ac:dyDescent="0.25">
      <c r="AE400825" s="36"/>
      <c r="AF400825" s="36"/>
    </row>
    <row r="400921" spans="31:32" x14ac:dyDescent="0.25">
      <c r="AE400921" s="34"/>
      <c r="AF400921" s="34"/>
    </row>
    <row r="400929" spans="31:32" x14ac:dyDescent="0.25">
      <c r="AE400929" s="36"/>
      <c r="AF400929" s="36"/>
    </row>
    <row r="401025" spans="31:32" x14ac:dyDescent="0.25">
      <c r="AE401025" s="34"/>
      <c r="AF401025" s="34"/>
    </row>
    <row r="401033" spans="31:32" x14ac:dyDescent="0.25">
      <c r="AE401033" s="36"/>
      <c r="AF401033" s="36"/>
    </row>
    <row r="401129" spans="31:32" x14ac:dyDescent="0.25">
      <c r="AE401129" s="34"/>
      <c r="AF401129" s="34"/>
    </row>
    <row r="401137" spans="31:32" x14ac:dyDescent="0.25">
      <c r="AE401137" s="36"/>
      <c r="AF401137" s="36"/>
    </row>
    <row r="401233" spans="31:32" x14ac:dyDescent="0.25">
      <c r="AE401233" s="34"/>
      <c r="AF401233" s="34"/>
    </row>
    <row r="401241" spans="31:32" x14ac:dyDescent="0.25">
      <c r="AE401241" s="36"/>
      <c r="AF401241" s="36"/>
    </row>
    <row r="401337" spans="31:32" x14ac:dyDescent="0.25">
      <c r="AE401337" s="34"/>
      <c r="AF401337" s="34"/>
    </row>
    <row r="401345" spans="31:32" x14ac:dyDescent="0.25">
      <c r="AE401345" s="36"/>
      <c r="AF401345" s="36"/>
    </row>
    <row r="401441" spans="31:32" x14ac:dyDescent="0.25">
      <c r="AE401441" s="34"/>
      <c r="AF401441" s="34"/>
    </row>
    <row r="401449" spans="31:32" x14ac:dyDescent="0.25">
      <c r="AE401449" s="36"/>
      <c r="AF401449" s="36"/>
    </row>
    <row r="401545" spans="31:32" x14ac:dyDescent="0.25">
      <c r="AE401545" s="34"/>
      <c r="AF401545" s="34"/>
    </row>
    <row r="401553" spans="31:32" x14ac:dyDescent="0.25">
      <c r="AE401553" s="36"/>
      <c r="AF401553" s="36"/>
    </row>
    <row r="401649" spans="31:32" x14ac:dyDescent="0.25">
      <c r="AE401649" s="34"/>
      <c r="AF401649" s="34"/>
    </row>
    <row r="401657" spans="31:32" x14ac:dyDescent="0.25">
      <c r="AE401657" s="36"/>
      <c r="AF401657" s="36"/>
    </row>
    <row r="401753" spans="31:32" x14ac:dyDescent="0.25">
      <c r="AE401753" s="34"/>
      <c r="AF401753" s="34"/>
    </row>
    <row r="401761" spans="31:32" x14ac:dyDescent="0.25">
      <c r="AE401761" s="36"/>
      <c r="AF401761" s="36"/>
    </row>
    <row r="401857" spans="31:32" x14ac:dyDescent="0.25">
      <c r="AE401857" s="34"/>
      <c r="AF401857" s="34"/>
    </row>
    <row r="401865" spans="31:32" x14ac:dyDescent="0.25">
      <c r="AE401865" s="36"/>
      <c r="AF401865" s="36"/>
    </row>
    <row r="401961" spans="31:32" x14ac:dyDescent="0.25">
      <c r="AE401961" s="34"/>
      <c r="AF401961" s="34"/>
    </row>
    <row r="401969" spans="31:32" x14ac:dyDescent="0.25">
      <c r="AE401969" s="36"/>
      <c r="AF401969" s="36"/>
    </row>
    <row r="402065" spans="31:32" x14ac:dyDescent="0.25">
      <c r="AE402065" s="34"/>
      <c r="AF402065" s="34"/>
    </row>
    <row r="402073" spans="31:32" x14ac:dyDescent="0.25">
      <c r="AE402073" s="36"/>
      <c r="AF402073" s="36"/>
    </row>
    <row r="402169" spans="31:32" x14ac:dyDescent="0.25">
      <c r="AE402169" s="34"/>
      <c r="AF402169" s="34"/>
    </row>
    <row r="402177" spans="31:32" x14ac:dyDescent="0.25">
      <c r="AE402177" s="36"/>
      <c r="AF402177" s="36"/>
    </row>
    <row r="402273" spans="31:32" x14ac:dyDescent="0.25">
      <c r="AE402273" s="34"/>
      <c r="AF402273" s="34"/>
    </row>
    <row r="402281" spans="31:32" x14ac:dyDescent="0.25">
      <c r="AE402281" s="36"/>
      <c r="AF402281" s="36"/>
    </row>
    <row r="402377" spans="31:32" x14ac:dyDescent="0.25">
      <c r="AE402377" s="34"/>
      <c r="AF402377" s="34"/>
    </row>
    <row r="402385" spans="31:32" x14ac:dyDescent="0.25">
      <c r="AE402385" s="36"/>
      <c r="AF402385" s="36"/>
    </row>
    <row r="402481" spans="31:32" x14ac:dyDescent="0.25">
      <c r="AE402481" s="34"/>
      <c r="AF402481" s="34"/>
    </row>
    <row r="402489" spans="31:32" x14ac:dyDescent="0.25">
      <c r="AE402489" s="36"/>
      <c r="AF402489" s="36"/>
    </row>
    <row r="402585" spans="31:32" x14ac:dyDescent="0.25">
      <c r="AE402585" s="34"/>
      <c r="AF402585" s="34"/>
    </row>
    <row r="402593" spans="31:32" x14ac:dyDescent="0.25">
      <c r="AE402593" s="36"/>
      <c r="AF402593" s="36"/>
    </row>
    <row r="402689" spans="31:32" x14ac:dyDescent="0.25">
      <c r="AE402689" s="34"/>
      <c r="AF402689" s="34"/>
    </row>
    <row r="402697" spans="31:32" x14ac:dyDescent="0.25">
      <c r="AE402697" s="36"/>
      <c r="AF402697" s="36"/>
    </row>
    <row r="402793" spans="31:32" x14ac:dyDescent="0.25">
      <c r="AE402793" s="34"/>
      <c r="AF402793" s="34"/>
    </row>
    <row r="402801" spans="31:32" x14ac:dyDescent="0.25">
      <c r="AE402801" s="36"/>
      <c r="AF402801" s="36"/>
    </row>
    <row r="402897" spans="31:32" x14ac:dyDescent="0.25">
      <c r="AE402897" s="34"/>
      <c r="AF402897" s="34"/>
    </row>
    <row r="402905" spans="31:32" x14ac:dyDescent="0.25">
      <c r="AE402905" s="36"/>
      <c r="AF402905" s="36"/>
    </row>
    <row r="403001" spans="31:32" x14ac:dyDescent="0.25">
      <c r="AE403001" s="34"/>
      <c r="AF403001" s="34"/>
    </row>
    <row r="403009" spans="31:32" x14ac:dyDescent="0.25">
      <c r="AE403009" s="36"/>
      <c r="AF403009" s="36"/>
    </row>
    <row r="403105" spans="31:32" x14ac:dyDescent="0.25">
      <c r="AE403105" s="34"/>
      <c r="AF403105" s="34"/>
    </row>
    <row r="403113" spans="31:32" x14ac:dyDescent="0.25">
      <c r="AE403113" s="36"/>
      <c r="AF403113" s="36"/>
    </row>
    <row r="403209" spans="31:32" x14ac:dyDescent="0.25">
      <c r="AE403209" s="34"/>
      <c r="AF403209" s="34"/>
    </row>
    <row r="403217" spans="31:32" x14ac:dyDescent="0.25">
      <c r="AE403217" s="36"/>
      <c r="AF403217" s="36"/>
    </row>
    <row r="403313" spans="31:32" x14ac:dyDescent="0.25">
      <c r="AE403313" s="34"/>
      <c r="AF403313" s="34"/>
    </row>
    <row r="403321" spans="31:32" x14ac:dyDescent="0.25">
      <c r="AE403321" s="36"/>
      <c r="AF403321" s="36"/>
    </row>
    <row r="403417" spans="31:32" x14ac:dyDescent="0.25">
      <c r="AE403417" s="34"/>
      <c r="AF403417" s="34"/>
    </row>
    <row r="403425" spans="31:32" x14ac:dyDescent="0.25">
      <c r="AE403425" s="36"/>
      <c r="AF403425" s="36"/>
    </row>
    <row r="403521" spans="31:32" x14ac:dyDescent="0.25">
      <c r="AE403521" s="34"/>
      <c r="AF403521" s="34"/>
    </row>
    <row r="403529" spans="31:32" x14ac:dyDescent="0.25">
      <c r="AE403529" s="36"/>
      <c r="AF403529" s="36"/>
    </row>
    <row r="403625" spans="31:32" x14ac:dyDescent="0.25">
      <c r="AE403625" s="34"/>
      <c r="AF403625" s="34"/>
    </row>
    <row r="403633" spans="31:32" x14ac:dyDescent="0.25">
      <c r="AE403633" s="36"/>
      <c r="AF403633" s="36"/>
    </row>
    <row r="403729" spans="31:32" x14ac:dyDescent="0.25">
      <c r="AE403729" s="34"/>
      <c r="AF403729" s="34"/>
    </row>
    <row r="403737" spans="31:32" x14ac:dyDescent="0.25">
      <c r="AE403737" s="36"/>
      <c r="AF403737" s="36"/>
    </row>
    <row r="403833" spans="31:32" x14ac:dyDescent="0.25">
      <c r="AE403833" s="34"/>
      <c r="AF403833" s="34"/>
    </row>
    <row r="403841" spans="31:32" x14ac:dyDescent="0.25">
      <c r="AE403841" s="36"/>
      <c r="AF403841" s="36"/>
    </row>
    <row r="403937" spans="31:32" x14ac:dyDescent="0.25">
      <c r="AE403937" s="34"/>
      <c r="AF403937" s="34"/>
    </row>
    <row r="403945" spans="31:32" x14ac:dyDescent="0.25">
      <c r="AE403945" s="36"/>
      <c r="AF403945" s="36"/>
    </row>
    <row r="404041" spans="31:32" x14ac:dyDescent="0.25">
      <c r="AE404041" s="34"/>
      <c r="AF404041" s="34"/>
    </row>
    <row r="404049" spans="31:32" x14ac:dyDescent="0.25">
      <c r="AE404049" s="36"/>
      <c r="AF404049" s="36"/>
    </row>
    <row r="404145" spans="31:32" x14ac:dyDescent="0.25">
      <c r="AE404145" s="34"/>
      <c r="AF404145" s="34"/>
    </row>
    <row r="404153" spans="31:32" x14ac:dyDescent="0.25">
      <c r="AE404153" s="36"/>
      <c r="AF404153" s="36"/>
    </row>
    <row r="404249" spans="31:32" x14ac:dyDescent="0.25">
      <c r="AE404249" s="34"/>
      <c r="AF404249" s="34"/>
    </row>
    <row r="404257" spans="31:32" x14ac:dyDescent="0.25">
      <c r="AE404257" s="36"/>
      <c r="AF404257" s="36"/>
    </row>
    <row r="404353" spans="31:32" x14ac:dyDescent="0.25">
      <c r="AE404353" s="34"/>
      <c r="AF404353" s="34"/>
    </row>
    <row r="404361" spans="31:32" x14ac:dyDescent="0.25">
      <c r="AE404361" s="36"/>
      <c r="AF404361" s="36"/>
    </row>
    <row r="404457" spans="31:32" x14ac:dyDescent="0.25">
      <c r="AE404457" s="34"/>
      <c r="AF404457" s="34"/>
    </row>
    <row r="404465" spans="31:32" x14ac:dyDescent="0.25">
      <c r="AE404465" s="36"/>
      <c r="AF404465" s="36"/>
    </row>
    <row r="404561" spans="31:32" x14ac:dyDescent="0.25">
      <c r="AE404561" s="34"/>
      <c r="AF404561" s="34"/>
    </row>
    <row r="404569" spans="31:32" x14ac:dyDescent="0.25">
      <c r="AE404569" s="36"/>
      <c r="AF404569" s="36"/>
    </row>
    <row r="404665" spans="31:32" x14ac:dyDescent="0.25">
      <c r="AE404665" s="34"/>
      <c r="AF404665" s="34"/>
    </row>
    <row r="404673" spans="31:32" x14ac:dyDescent="0.25">
      <c r="AE404673" s="36"/>
      <c r="AF404673" s="36"/>
    </row>
    <row r="404769" spans="31:32" x14ac:dyDescent="0.25">
      <c r="AE404769" s="34"/>
      <c r="AF404769" s="34"/>
    </row>
    <row r="404777" spans="31:32" x14ac:dyDescent="0.25">
      <c r="AE404777" s="36"/>
      <c r="AF404777" s="36"/>
    </row>
    <row r="404873" spans="31:32" x14ac:dyDescent="0.25">
      <c r="AE404873" s="34"/>
      <c r="AF404873" s="34"/>
    </row>
    <row r="404881" spans="31:32" x14ac:dyDescent="0.25">
      <c r="AE404881" s="36"/>
      <c r="AF404881" s="36"/>
    </row>
    <row r="404977" spans="31:32" x14ac:dyDescent="0.25">
      <c r="AE404977" s="34"/>
      <c r="AF404977" s="34"/>
    </row>
    <row r="404985" spans="31:32" x14ac:dyDescent="0.25">
      <c r="AE404985" s="36"/>
      <c r="AF404985" s="36"/>
    </row>
    <row r="405081" spans="31:32" x14ac:dyDescent="0.25">
      <c r="AE405081" s="34"/>
      <c r="AF405081" s="34"/>
    </row>
    <row r="405089" spans="31:32" x14ac:dyDescent="0.25">
      <c r="AE405089" s="36"/>
      <c r="AF405089" s="36"/>
    </row>
    <row r="405185" spans="31:32" x14ac:dyDescent="0.25">
      <c r="AE405185" s="34"/>
      <c r="AF405185" s="34"/>
    </row>
    <row r="405193" spans="31:32" x14ac:dyDescent="0.25">
      <c r="AE405193" s="36"/>
      <c r="AF405193" s="36"/>
    </row>
    <row r="405289" spans="31:32" x14ac:dyDescent="0.25">
      <c r="AE405289" s="34"/>
      <c r="AF405289" s="34"/>
    </row>
    <row r="405297" spans="31:32" x14ac:dyDescent="0.25">
      <c r="AE405297" s="36"/>
      <c r="AF405297" s="36"/>
    </row>
    <row r="405393" spans="31:32" x14ac:dyDescent="0.25">
      <c r="AE405393" s="34"/>
      <c r="AF405393" s="34"/>
    </row>
    <row r="405401" spans="31:32" x14ac:dyDescent="0.25">
      <c r="AE405401" s="36"/>
      <c r="AF405401" s="36"/>
    </row>
    <row r="405497" spans="31:32" x14ac:dyDescent="0.25">
      <c r="AE405497" s="34"/>
      <c r="AF405497" s="34"/>
    </row>
    <row r="405505" spans="31:32" x14ac:dyDescent="0.25">
      <c r="AE405505" s="36"/>
      <c r="AF405505" s="36"/>
    </row>
    <row r="405601" spans="31:32" x14ac:dyDescent="0.25">
      <c r="AE405601" s="34"/>
      <c r="AF405601" s="34"/>
    </row>
    <row r="405609" spans="31:32" x14ac:dyDescent="0.25">
      <c r="AE405609" s="36"/>
      <c r="AF405609" s="36"/>
    </row>
    <row r="405705" spans="31:32" x14ac:dyDescent="0.25">
      <c r="AE405705" s="34"/>
      <c r="AF405705" s="34"/>
    </row>
    <row r="405713" spans="31:32" x14ac:dyDescent="0.25">
      <c r="AE405713" s="36"/>
      <c r="AF405713" s="36"/>
    </row>
    <row r="405809" spans="31:32" x14ac:dyDescent="0.25">
      <c r="AE405809" s="34"/>
      <c r="AF405809" s="34"/>
    </row>
    <row r="405817" spans="31:32" x14ac:dyDescent="0.25">
      <c r="AE405817" s="36"/>
      <c r="AF405817" s="36"/>
    </row>
    <row r="405913" spans="31:32" x14ac:dyDescent="0.25">
      <c r="AE405913" s="34"/>
      <c r="AF405913" s="34"/>
    </row>
    <row r="405921" spans="31:32" x14ac:dyDescent="0.25">
      <c r="AE405921" s="36"/>
      <c r="AF405921" s="36"/>
    </row>
    <row r="406017" spans="31:32" x14ac:dyDescent="0.25">
      <c r="AE406017" s="34"/>
      <c r="AF406017" s="34"/>
    </row>
    <row r="406025" spans="31:32" x14ac:dyDescent="0.25">
      <c r="AE406025" s="36"/>
      <c r="AF406025" s="36"/>
    </row>
    <row r="406121" spans="31:32" x14ac:dyDescent="0.25">
      <c r="AE406121" s="34"/>
      <c r="AF406121" s="34"/>
    </row>
    <row r="406129" spans="31:32" x14ac:dyDescent="0.25">
      <c r="AE406129" s="36"/>
      <c r="AF406129" s="36"/>
    </row>
    <row r="406225" spans="31:32" x14ac:dyDescent="0.25">
      <c r="AE406225" s="34"/>
      <c r="AF406225" s="34"/>
    </row>
    <row r="406233" spans="31:32" x14ac:dyDescent="0.25">
      <c r="AE406233" s="36"/>
      <c r="AF406233" s="36"/>
    </row>
    <row r="406329" spans="31:32" x14ac:dyDescent="0.25">
      <c r="AE406329" s="34"/>
      <c r="AF406329" s="34"/>
    </row>
    <row r="406337" spans="31:32" x14ac:dyDescent="0.25">
      <c r="AE406337" s="36"/>
      <c r="AF406337" s="36"/>
    </row>
    <row r="406433" spans="31:32" x14ac:dyDescent="0.25">
      <c r="AE406433" s="34"/>
      <c r="AF406433" s="34"/>
    </row>
    <row r="406441" spans="31:32" x14ac:dyDescent="0.25">
      <c r="AE406441" s="36"/>
      <c r="AF406441" s="36"/>
    </row>
    <row r="406537" spans="31:32" x14ac:dyDescent="0.25">
      <c r="AE406537" s="34"/>
      <c r="AF406537" s="34"/>
    </row>
    <row r="406545" spans="31:32" x14ac:dyDescent="0.25">
      <c r="AE406545" s="36"/>
      <c r="AF406545" s="36"/>
    </row>
    <row r="406641" spans="31:32" x14ac:dyDescent="0.25">
      <c r="AE406641" s="34"/>
      <c r="AF406641" s="34"/>
    </row>
    <row r="406649" spans="31:32" x14ac:dyDescent="0.25">
      <c r="AE406649" s="36"/>
      <c r="AF406649" s="36"/>
    </row>
    <row r="406745" spans="31:32" x14ac:dyDescent="0.25">
      <c r="AE406745" s="34"/>
      <c r="AF406745" s="34"/>
    </row>
    <row r="406753" spans="31:32" x14ac:dyDescent="0.25">
      <c r="AE406753" s="36"/>
      <c r="AF406753" s="36"/>
    </row>
    <row r="406849" spans="31:32" x14ac:dyDescent="0.25">
      <c r="AE406849" s="34"/>
      <c r="AF406849" s="34"/>
    </row>
    <row r="406857" spans="31:32" x14ac:dyDescent="0.25">
      <c r="AE406857" s="36"/>
      <c r="AF406857" s="36"/>
    </row>
    <row r="406953" spans="31:32" x14ac:dyDescent="0.25">
      <c r="AE406953" s="34"/>
      <c r="AF406953" s="34"/>
    </row>
    <row r="406961" spans="31:32" x14ac:dyDescent="0.25">
      <c r="AE406961" s="36"/>
      <c r="AF406961" s="36"/>
    </row>
    <row r="407057" spans="31:32" x14ac:dyDescent="0.25">
      <c r="AE407057" s="34"/>
      <c r="AF407057" s="34"/>
    </row>
    <row r="407065" spans="31:32" x14ac:dyDescent="0.25">
      <c r="AE407065" s="36"/>
      <c r="AF407065" s="36"/>
    </row>
    <row r="407161" spans="31:32" x14ac:dyDescent="0.25">
      <c r="AE407161" s="34"/>
      <c r="AF407161" s="34"/>
    </row>
    <row r="407169" spans="31:32" x14ac:dyDescent="0.25">
      <c r="AE407169" s="36"/>
      <c r="AF407169" s="36"/>
    </row>
    <row r="407265" spans="31:32" x14ac:dyDescent="0.25">
      <c r="AE407265" s="34"/>
      <c r="AF407265" s="34"/>
    </row>
    <row r="407273" spans="31:32" x14ac:dyDescent="0.25">
      <c r="AE407273" s="36"/>
      <c r="AF407273" s="36"/>
    </row>
    <row r="407369" spans="31:32" x14ac:dyDescent="0.25">
      <c r="AE407369" s="34"/>
      <c r="AF407369" s="34"/>
    </row>
    <row r="407377" spans="31:32" x14ac:dyDescent="0.25">
      <c r="AE407377" s="36"/>
      <c r="AF407377" s="36"/>
    </row>
    <row r="407473" spans="31:32" x14ac:dyDescent="0.25">
      <c r="AE407473" s="34"/>
      <c r="AF407473" s="34"/>
    </row>
    <row r="407481" spans="31:32" x14ac:dyDescent="0.25">
      <c r="AE407481" s="36"/>
      <c r="AF407481" s="36"/>
    </row>
    <row r="407577" spans="31:32" x14ac:dyDescent="0.25">
      <c r="AE407577" s="34"/>
      <c r="AF407577" s="34"/>
    </row>
    <row r="407585" spans="31:32" x14ac:dyDescent="0.25">
      <c r="AE407585" s="36"/>
      <c r="AF407585" s="36"/>
    </row>
    <row r="407681" spans="31:32" x14ac:dyDescent="0.25">
      <c r="AE407681" s="34"/>
      <c r="AF407681" s="34"/>
    </row>
    <row r="407689" spans="31:32" x14ac:dyDescent="0.25">
      <c r="AE407689" s="36"/>
      <c r="AF407689" s="36"/>
    </row>
    <row r="407785" spans="31:32" x14ac:dyDescent="0.25">
      <c r="AE407785" s="34"/>
      <c r="AF407785" s="34"/>
    </row>
    <row r="407793" spans="31:32" x14ac:dyDescent="0.25">
      <c r="AE407793" s="36"/>
      <c r="AF407793" s="36"/>
    </row>
    <row r="407889" spans="31:32" x14ac:dyDescent="0.25">
      <c r="AE407889" s="34"/>
      <c r="AF407889" s="34"/>
    </row>
    <row r="407897" spans="31:32" x14ac:dyDescent="0.25">
      <c r="AE407897" s="36"/>
      <c r="AF407897" s="36"/>
    </row>
    <row r="407993" spans="31:32" x14ac:dyDescent="0.25">
      <c r="AE407993" s="34"/>
      <c r="AF407993" s="34"/>
    </row>
    <row r="408001" spans="31:32" x14ac:dyDescent="0.25">
      <c r="AE408001" s="36"/>
      <c r="AF408001" s="36"/>
    </row>
    <row r="408097" spans="31:32" x14ac:dyDescent="0.25">
      <c r="AE408097" s="34"/>
      <c r="AF408097" s="34"/>
    </row>
    <row r="408105" spans="31:32" x14ac:dyDescent="0.25">
      <c r="AE408105" s="36"/>
      <c r="AF408105" s="36"/>
    </row>
    <row r="408201" spans="31:32" x14ac:dyDescent="0.25">
      <c r="AE408201" s="34"/>
      <c r="AF408201" s="34"/>
    </row>
    <row r="408209" spans="31:32" x14ac:dyDescent="0.25">
      <c r="AE408209" s="36"/>
      <c r="AF408209" s="36"/>
    </row>
    <row r="408305" spans="31:32" x14ac:dyDescent="0.25">
      <c r="AE408305" s="34"/>
      <c r="AF408305" s="34"/>
    </row>
    <row r="408313" spans="31:32" x14ac:dyDescent="0.25">
      <c r="AE408313" s="36"/>
      <c r="AF408313" s="36"/>
    </row>
    <row r="408409" spans="31:32" x14ac:dyDescent="0.25">
      <c r="AE408409" s="34"/>
      <c r="AF408409" s="34"/>
    </row>
    <row r="408417" spans="31:32" x14ac:dyDescent="0.25">
      <c r="AE408417" s="36"/>
      <c r="AF408417" s="36"/>
    </row>
    <row r="408513" spans="31:32" x14ac:dyDescent="0.25">
      <c r="AE408513" s="34"/>
      <c r="AF408513" s="34"/>
    </row>
    <row r="408521" spans="31:32" x14ac:dyDescent="0.25">
      <c r="AE408521" s="36"/>
      <c r="AF408521" s="36"/>
    </row>
    <row r="408617" spans="31:32" x14ac:dyDescent="0.25">
      <c r="AE408617" s="34"/>
      <c r="AF408617" s="34"/>
    </row>
    <row r="408625" spans="31:32" x14ac:dyDescent="0.25">
      <c r="AE408625" s="36"/>
      <c r="AF408625" s="36"/>
    </row>
    <row r="408721" spans="31:32" x14ac:dyDescent="0.25">
      <c r="AE408721" s="34"/>
      <c r="AF408721" s="34"/>
    </row>
    <row r="408729" spans="31:32" x14ac:dyDescent="0.25">
      <c r="AE408729" s="36"/>
      <c r="AF408729" s="36"/>
    </row>
    <row r="408825" spans="31:32" x14ac:dyDescent="0.25">
      <c r="AE408825" s="34"/>
      <c r="AF408825" s="34"/>
    </row>
    <row r="408833" spans="31:32" x14ac:dyDescent="0.25">
      <c r="AE408833" s="36"/>
      <c r="AF408833" s="36"/>
    </row>
    <row r="408929" spans="31:32" x14ac:dyDescent="0.25">
      <c r="AE408929" s="34"/>
      <c r="AF408929" s="34"/>
    </row>
    <row r="408937" spans="31:32" x14ac:dyDescent="0.25">
      <c r="AE408937" s="36"/>
      <c r="AF408937" s="36"/>
    </row>
    <row r="409033" spans="31:32" x14ac:dyDescent="0.25">
      <c r="AE409033" s="34"/>
      <c r="AF409033" s="34"/>
    </row>
    <row r="409041" spans="31:32" x14ac:dyDescent="0.25">
      <c r="AE409041" s="36"/>
      <c r="AF409041" s="36"/>
    </row>
    <row r="409137" spans="31:32" x14ac:dyDescent="0.25">
      <c r="AE409137" s="34"/>
      <c r="AF409137" s="34"/>
    </row>
    <row r="409145" spans="31:32" x14ac:dyDescent="0.25">
      <c r="AE409145" s="36"/>
      <c r="AF409145" s="36"/>
    </row>
    <row r="409241" spans="31:32" x14ac:dyDescent="0.25">
      <c r="AE409241" s="34"/>
      <c r="AF409241" s="34"/>
    </row>
    <row r="409249" spans="31:32" x14ac:dyDescent="0.25">
      <c r="AE409249" s="36"/>
      <c r="AF409249" s="36"/>
    </row>
    <row r="409345" spans="31:32" x14ac:dyDescent="0.25">
      <c r="AE409345" s="34"/>
      <c r="AF409345" s="34"/>
    </row>
    <row r="409353" spans="31:32" x14ac:dyDescent="0.25">
      <c r="AE409353" s="36"/>
      <c r="AF409353" s="36"/>
    </row>
    <row r="409449" spans="31:32" x14ac:dyDescent="0.25">
      <c r="AE409449" s="34"/>
      <c r="AF409449" s="34"/>
    </row>
    <row r="409457" spans="31:32" x14ac:dyDescent="0.25">
      <c r="AE409457" s="36"/>
      <c r="AF409457" s="36"/>
    </row>
    <row r="409553" spans="31:32" x14ac:dyDescent="0.25">
      <c r="AE409553" s="34"/>
      <c r="AF409553" s="34"/>
    </row>
    <row r="409561" spans="31:32" x14ac:dyDescent="0.25">
      <c r="AE409561" s="36"/>
      <c r="AF409561" s="36"/>
    </row>
    <row r="409657" spans="31:32" x14ac:dyDescent="0.25">
      <c r="AE409657" s="34"/>
      <c r="AF409657" s="34"/>
    </row>
    <row r="409665" spans="31:32" x14ac:dyDescent="0.25">
      <c r="AE409665" s="36"/>
      <c r="AF409665" s="36"/>
    </row>
    <row r="409761" spans="31:32" x14ac:dyDescent="0.25">
      <c r="AE409761" s="34"/>
      <c r="AF409761" s="34"/>
    </row>
    <row r="409769" spans="31:32" x14ac:dyDescent="0.25">
      <c r="AE409769" s="36"/>
      <c r="AF409769" s="36"/>
    </row>
    <row r="409865" spans="31:32" x14ac:dyDescent="0.25">
      <c r="AE409865" s="34"/>
      <c r="AF409865" s="34"/>
    </row>
    <row r="409873" spans="31:32" x14ac:dyDescent="0.25">
      <c r="AE409873" s="36"/>
      <c r="AF409873" s="36"/>
    </row>
    <row r="409969" spans="31:32" x14ac:dyDescent="0.25">
      <c r="AE409969" s="34"/>
      <c r="AF409969" s="34"/>
    </row>
    <row r="409977" spans="31:32" x14ac:dyDescent="0.25">
      <c r="AE409977" s="36"/>
      <c r="AF409977" s="36"/>
    </row>
    <row r="410073" spans="31:32" x14ac:dyDescent="0.25">
      <c r="AE410073" s="34"/>
      <c r="AF410073" s="34"/>
    </row>
    <row r="410081" spans="31:32" x14ac:dyDescent="0.25">
      <c r="AE410081" s="36"/>
      <c r="AF410081" s="36"/>
    </row>
    <row r="410177" spans="31:32" x14ac:dyDescent="0.25">
      <c r="AE410177" s="34"/>
      <c r="AF410177" s="34"/>
    </row>
    <row r="410185" spans="31:32" x14ac:dyDescent="0.25">
      <c r="AE410185" s="36"/>
      <c r="AF410185" s="36"/>
    </row>
    <row r="410281" spans="31:32" x14ac:dyDescent="0.25">
      <c r="AE410281" s="34"/>
      <c r="AF410281" s="34"/>
    </row>
    <row r="410289" spans="31:32" x14ac:dyDescent="0.25">
      <c r="AE410289" s="36"/>
      <c r="AF410289" s="36"/>
    </row>
    <row r="410385" spans="31:32" x14ac:dyDescent="0.25">
      <c r="AE410385" s="34"/>
      <c r="AF410385" s="34"/>
    </row>
    <row r="410393" spans="31:32" x14ac:dyDescent="0.25">
      <c r="AE410393" s="36"/>
      <c r="AF410393" s="36"/>
    </row>
    <row r="410489" spans="31:32" x14ac:dyDescent="0.25">
      <c r="AE410489" s="34"/>
      <c r="AF410489" s="34"/>
    </row>
    <row r="410497" spans="31:32" x14ac:dyDescent="0.25">
      <c r="AE410497" s="36"/>
      <c r="AF410497" s="36"/>
    </row>
    <row r="410593" spans="31:32" x14ac:dyDescent="0.25">
      <c r="AE410593" s="34"/>
      <c r="AF410593" s="34"/>
    </row>
    <row r="410601" spans="31:32" x14ac:dyDescent="0.25">
      <c r="AE410601" s="36"/>
      <c r="AF410601" s="36"/>
    </row>
    <row r="410697" spans="31:32" x14ac:dyDescent="0.25">
      <c r="AE410697" s="34"/>
      <c r="AF410697" s="34"/>
    </row>
    <row r="410705" spans="31:32" x14ac:dyDescent="0.25">
      <c r="AE410705" s="36"/>
      <c r="AF410705" s="36"/>
    </row>
    <row r="410801" spans="31:32" x14ac:dyDescent="0.25">
      <c r="AE410801" s="34"/>
      <c r="AF410801" s="34"/>
    </row>
    <row r="410809" spans="31:32" x14ac:dyDescent="0.25">
      <c r="AE410809" s="36"/>
      <c r="AF410809" s="36"/>
    </row>
    <row r="410905" spans="31:32" x14ac:dyDescent="0.25">
      <c r="AE410905" s="34"/>
      <c r="AF410905" s="34"/>
    </row>
    <row r="410913" spans="31:32" x14ac:dyDescent="0.25">
      <c r="AE410913" s="36"/>
      <c r="AF410913" s="36"/>
    </row>
    <row r="411009" spans="31:32" x14ac:dyDescent="0.25">
      <c r="AE411009" s="34"/>
      <c r="AF411009" s="34"/>
    </row>
    <row r="411017" spans="31:32" x14ac:dyDescent="0.25">
      <c r="AE411017" s="36"/>
      <c r="AF411017" s="36"/>
    </row>
    <row r="411113" spans="31:32" x14ac:dyDescent="0.25">
      <c r="AE411113" s="34"/>
      <c r="AF411113" s="34"/>
    </row>
    <row r="411121" spans="31:32" x14ac:dyDescent="0.25">
      <c r="AE411121" s="36"/>
      <c r="AF411121" s="36"/>
    </row>
    <row r="411217" spans="31:32" x14ac:dyDescent="0.25">
      <c r="AE411217" s="34"/>
      <c r="AF411217" s="34"/>
    </row>
    <row r="411225" spans="31:32" x14ac:dyDescent="0.25">
      <c r="AE411225" s="36"/>
      <c r="AF411225" s="36"/>
    </row>
    <row r="411321" spans="31:32" x14ac:dyDescent="0.25">
      <c r="AE411321" s="34"/>
      <c r="AF411321" s="34"/>
    </row>
    <row r="411329" spans="31:32" x14ac:dyDescent="0.25">
      <c r="AE411329" s="36"/>
      <c r="AF411329" s="36"/>
    </row>
    <row r="411425" spans="31:32" x14ac:dyDescent="0.25">
      <c r="AE411425" s="34"/>
      <c r="AF411425" s="34"/>
    </row>
    <row r="411433" spans="31:32" x14ac:dyDescent="0.25">
      <c r="AE411433" s="36"/>
      <c r="AF411433" s="36"/>
    </row>
    <row r="411529" spans="31:32" x14ac:dyDescent="0.25">
      <c r="AE411529" s="34"/>
      <c r="AF411529" s="34"/>
    </row>
    <row r="411537" spans="31:32" x14ac:dyDescent="0.25">
      <c r="AE411537" s="36"/>
      <c r="AF411537" s="36"/>
    </row>
    <row r="411633" spans="31:32" x14ac:dyDescent="0.25">
      <c r="AE411633" s="34"/>
      <c r="AF411633" s="34"/>
    </row>
    <row r="411641" spans="31:32" x14ac:dyDescent="0.25">
      <c r="AE411641" s="36"/>
      <c r="AF411641" s="36"/>
    </row>
    <row r="411737" spans="31:32" x14ac:dyDescent="0.25">
      <c r="AE411737" s="34"/>
      <c r="AF411737" s="34"/>
    </row>
    <row r="411745" spans="31:32" x14ac:dyDescent="0.25">
      <c r="AE411745" s="36"/>
      <c r="AF411745" s="36"/>
    </row>
    <row r="411841" spans="31:32" x14ac:dyDescent="0.25">
      <c r="AE411841" s="34"/>
      <c r="AF411841" s="34"/>
    </row>
    <row r="411849" spans="31:32" x14ac:dyDescent="0.25">
      <c r="AE411849" s="36"/>
      <c r="AF411849" s="36"/>
    </row>
    <row r="411945" spans="31:32" x14ac:dyDescent="0.25">
      <c r="AE411945" s="34"/>
      <c r="AF411945" s="34"/>
    </row>
    <row r="411953" spans="31:32" x14ac:dyDescent="0.25">
      <c r="AE411953" s="36"/>
      <c r="AF411953" s="36"/>
    </row>
    <row r="412049" spans="31:32" x14ac:dyDescent="0.25">
      <c r="AE412049" s="34"/>
      <c r="AF412049" s="34"/>
    </row>
    <row r="412057" spans="31:32" x14ac:dyDescent="0.25">
      <c r="AE412057" s="36"/>
      <c r="AF412057" s="36"/>
    </row>
    <row r="412153" spans="31:32" x14ac:dyDescent="0.25">
      <c r="AE412153" s="34"/>
      <c r="AF412153" s="34"/>
    </row>
    <row r="412161" spans="31:32" x14ac:dyDescent="0.25">
      <c r="AE412161" s="36"/>
      <c r="AF412161" s="36"/>
    </row>
    <row r="412257" spans="31:32" x14ac:dyDescent="0.25">
      <c r="AE412257" s="34"/>
      <c r="AF412257" s="34"/>
    </row>
    <row r="412265" spans="31:32" x14ac:dyDescent="0.25">
      <c r="AE412265" s="36"/>
      <c r="AF412265" s="36"/>
    </row>
    <row r="412361" spans="31:32" x14ac:dyDescent="0.25">
      <c r="AE412361" s="34"/>
      <c r="AF412361" s="34"/>
    </row>
    <row r="412369" spans="31:32" x14ac:dyDescent="0.25">
      <c r="AE412369" s="36"/>
      <c r="AF412369" s="36"/>
    </row>
    <row r="412465" spans="31:32" x14ac:dyDescent="0.25">
      <c r="AE412465" s="34"/>
      <c r="AF412465" s="34"/>
    </row>
    <row r="412473" spans="31:32" x14ac:dyDescent="0.25">
      <c r="AE412473" s="36"/>
      <c r="AF412473" s="36"/>
    </row>
    <row r="412569" spans="31:32" x14ac:dyDescent="0.25">
      <c r="AE412569" s="34"/>
      <c r="AF412569" s="34"/>
    </row>
    <row r="412577" spans="31:32" x14ac:dyDescent="0.25">
      <c r="AE412577" s="36"/>
      <c r="AF412577" s="36"/>
    </row>
    <row r="412673" spans="31:32" x14ac:dyDescent="0.25">
      <c r="AE412673" s="34"/>
      <c r="AF412673" s="34"/>
    </row>
    <row r="412681" spans="31:32" x14ac:dyDescent="0.25">
      <c r="AE412681" s="36"/>
      <c r="AF412681" s="36"/>
    </row>
    <row r="412777" spans="31:32" x14ac:dyDescent="0.25">
      <c r="AE412777" s="34"/>
      <c r="AF412777" s="34"/>
    </row>
    <row r="412785" spans="31:32" x14ac:dyDescent="0.25">
      <c r="AE412785" s="36"/>
      <c r="AF412785" s="36"/>
    </row>
    <row r="412881" spans="31:32" x14ac:dyDescent="0.25">
      <c r="AE412881" s="34"/>
      <c r="AF412881" s="34"/>
    </row>
    <row r="412889" spans="31:32" x14ac:dyDescent="0.25">
      <c r="AE412889" s="36"/>
      <c r="AF412889" s="36"/>
    </row>
    <row r="412985" spans="31:32" x14ac:dyDescent="0.25">
      <c r="AE412985" s="34"/>
      <c r="AF412985" s="34"/>
    </row>
    <row r="412993" spans="31:32" x14ac:dyDescent="0.25">
      <c r="AE412993" s="36"/>
      <c r="AF412993" s="36"/>
    </row>
    <row r="413089" spans="31:32" x14ac:dyDescent="0.25">
      <c r="AE413089" s="34"/>
      <c r="AF413089" s="34"/>
    </row>
    <row r="413097" spans="31:32" x14ac:dyDescent="0.25">
      <c r="AE413097" s="36"/>
      <c r="AF413097" s="36"/>
    </row>
    <row r="413193" spans="31:32" x14ac:dyDescent="0.25">
      <c r="AE413193" s="34"/>
      <c r="AF413193" s="34"/>
    </row>
    <row r="413201" spans="31:32" x14ac:dyDescent="0.25">
      <c r="AE413201" s="36"/>
      <c r="AF413201" s="36"/>
    </row>
    <row r="413297" spans="31:32" x14ac:dyDescent="0.25">
      <c r="AE413297" s="34"/>
      <c r="AF413297" s="34"/>
    </row>
    <row r="413305" spans="31:32" x14ac:dyDescent="0.25">
      <c r="AE413305" s="36"/>
      <c r="AF413305" s="36"/>
    </row>
    <row r="413401" spans="31:32" x14ac:dyDescent="0.25">
      <c r="AE413401" s="34"/>
      <c r="AF413401" s="34"/>
    </row>
    <row r="413409" spans="31:32" x14ac:dyDescent="0.25">
      <c r="AE413409" s="36"/>
      <c r="AF413409" s="36"/>
    </row>
    <row r="413505" spans="31:32" x14ac:dyDescent="0.25">
      <c r="AE413505" s="34"/>
      <c r="AF413505" s="34"/>
    </row>
    <row r="413513" spans="31:32" x14ac:dyDescent="0.25">
      <c r="AE413513" s="36"/>
      <c r="AF413513" s="36"/>
    </row>
    <row r="413609" spans="31:32" x14ac:dyDescent="0.25">
      <c r="AE413609" s="34"/>
      <c r="AF413609" s="34"/>
    </row>
    <row r="413617" spans="31:32" x14ac:dyDescent="0.25">
      <c r="AE413617" s="36"/>
      <c r="AF413617" s="36"/>
    </row>
    <row r="413713" spans="31:32" x14ac:dyDescent="0.25">
      <c r="AE413713" s="34"/>
      <c r="AF413713" s="34"/>
    </row>
    <row r="413721" spans="31:32" x14ac:dyDescent="0.25">
      <c r="AE413721" s="36"/>
      <c r="AF413721" s="36"/>
    </row>
    <row r="413817" spans="31:32" x14ac:dyDescent="0.25">
      <c r="AE413817" s="34"/>
      <c r="AF413817" s="34"/>
    </row>
    <row r="413825" spans="31:32" x14ac:dyDescent="0.25">
      <c r="AE413825" s="36"/>
      <c r="AF413825" s="36"/>
    </row>
    <row r="413921" spans="31:32" x14ac:dyDescent="0.25">
      <c r="AE413921" s="34"/>
      <c r="AF413921" s="34"/>
    </row>
    <row r="413929" spans="31:32" x14ac:dyDescent="0.25">
      <c r="AE413929" s="36"/>
      <c r="AF413929" s="36"/>
    </row>
    <row r="414025" spans="31:32" x14ac:dyDescent="0.25">
      <c r="AE414025" s="34"/>
      <c r="AF414025" s="34"/>
    </row>
    <row r="414033" spans="31:32" x14ac:dyDescent="0.25">
      <c r="AE414033" s="36"/>
      <c r="AF414033" s="36"/>
    </row>
    <row r="414129" spans="31:32" x14ac:dyDescent="0.25">
      <c r="AE414129" s="34"/>
      <c r="AF414129" s="34"/>
    </row>
    <row r="414137" spans="31:32" x14ac:dyDescent="0.25">
      <c r="AE414137" s="36"/>
      <c r="AF414137" s="36"/>
    </row>
    <row r="414233" spans="31:32" x14ac:dyDescent="0.25">
      <c r="AE414233" s="34"/>
      <c r="AF414233" s="34"/>
    </row>
    <row r="414241" spans="31:32" x14ac:dyDescent="0.25">
      <c r="AE414241" s="36"/>
      <c r="AF414241" s="36"/>
    </row>
    <row r="414337" spans="31:32" x14ac:dyDescent="0.25">
      <c r="AE414337" s="34"/>
      <c r="AF414337" s="34"/>
    </row>
    <row r="414345" spans="31:32" x14ac:dyDescent="0.25">
      <c r="AE414345" s="36"/>
      <c r="AF414345" s="36"/>
    </row>
    <row r="414441" spans="31:32" x14ac:dyDescent="0.25">
      <c r="AE414441" s="34"/>
      <c r="AF414441" s="34"/>
    </row>
    <row r="414449" spans="31:32" x14ac:dyDescent="0.25">
      <c r="AE414449" s="36"/>
      <c r="AF414449" s="36"/>
    </row>
    <row r="414545" spans="31:32" x14ac:dyDescent="0.25">
      <c r="AE414545" s="34"/>
      <c r="AF414545" s="34"/>
    </row>
    <row r="414553" spans="31:32" x14ac:dyDescent="0.25">
      <c r="AE414553" s="36"/>
      <c r="AF414553" s="36"/>
    </row>
    <row r="414649" spans="31:32" x14ac:dyDescent="0.25">
      <c r="AE414649" s="34"/>
      <c r="AF414649" s="34"/>
    </row>
    <row r="414657" spans="31:32" x14ac:dyDescent="0.25">
      <c r="AE414657" s="36"/>
      <c r="AF414657" s="36"/>
    </row>
    <row r="414753" spans="31:32" x14ac:dyDescent="0.25">
      <c r="AE414753" s="34"/>
      <c r="AF414753" s="34"/>
    </row>
    <row r="414761" spans="31:32" x14ac:dyDescent="0.25">
      <c r="AE414761" s="36"/>
      <c r="AF414761" s="36"/>
    </row>
    <row r="414857" spans="31:32" x14ac:dyDescent="0.25">
      <c r="AE414857" s="34"/>
      <c r="AF414857" s="34"/>
    </row>
    <row r="414865" spans="31:32" x14ac:dyDescent="0.25">
      <c r="AE414865" s="36"/>
      <c r="AF414865" s="36"/>
    </row>
    <row r="414961" spans="31:32" x14ac:dyDescent="0.25">
      <c r="AE414961" s="34"/>
      <c r="AF414961" s="34"/>
    </row>
    <row r="414969" spans="31:32" x14ac:dyDescent="0.25">
      <c r="AE414969" s="36"/>
      <c r="AF414969" s="36"/>
    </row>
    <row r="415065" spans="31:32" x14ac:dyDescent="0.25">
      <c r="AE415065" s="34"/>
      <c r="AF415065" s="34"/>
    </row>
    <row r="415073" spans="31:32" x14ac:dyDescent="0.25">
      <c r="AE415073" s="36"/>
      <c r="AF415073" s="36"/>
    </row>
    <row r="415169" spans="31:32" x14ac:dyDescent="0.25">
      <c r="AE415169" s="34"/>
      <c r="AF415169" s="34"/>
    </row>
    <row r="415177" spans="31:32" x14ac:dyDescent="0.25">
      <c r="AE415177" s="36"/>
      <c r="AF415177" s="36"/>
    </row>
    <row r="415273" spans="31:32" x14ac:dyDescent="0.25">
      <c r="AE415273" s="34"/>
      <c r="AF415273" s="34"/>
    </row>
    <row r="415281" spans="31:32" x14ac:dyDescent="0.25">
      <c r="AE415281" s="36"/>
      <c r="AF415281" s="36"/>
    </row>
    <row r="415377" spans="31:32" x14ac:dyDescent="0.25">
      <c r="AE415377" s="34"/>
      <c r="AF415377" s="34"/>
    </row>
    <row r="415385" spans="31:32" x14ac:dyDescent="0.25">
      <c r="AE415385" s="36"/>
      <c r="AF415385" s="36"/>
    </row>
    <row r="415481" spans="31:32" x14ac:dyDescent="0.25">
      <c r="AE415481" s="34"/>
      <c r="AF415481" s="34"/>
    </row>
    <row r="415489" spans="31:32" x14ac:dyDescent="0.25">
      <c r="AE415489" s="36"/>
      <c r="AF415489" s="36"/>
    </row>
    <row r="415585" spans="31:32" x14ac:dyDescent="0.25">
      <c r="AE415585" s="34"/>
      <c r="AF415585" s="34"/>
    </row>
    <row r="415593" spans="31:32" x14ac:dyDescent="0.25">
      <c r="AE415593" s="36"/>
      <c r="AF415593" s="36"/>
    </row>
    <row r="415689" spans="31:32" x14ac:dyDescent="0.25">
      <c r="AE415689" s="34"/>
      <c r="AF415689" s="34"/>
    </row>
    <row r="415697" spans="31:32" x14ac:dyDescent="0.25">
      <c r="AE415697" s="36"/>
      <c r="AF415697" s="36"/>
    </row>
    <row r="415793" spans="31:32" x14ac:dyDescent="0.25">
      <c r="AE415793" s="34"/>
      <c r="AF415793" s="34"/>
    </row>
    <row r="415801" spans="31:32" x14ac:dyDescent="0.25">
      <c r="AE415801" s="36"/>
      <c r="AF415801" s="36"/>
    </row>
    <row r="415897" spans="31:32" x14ac:dyDescent="0.25">
      <c r="AE415897" s="34"/>
      <c r="AF415897" s="34"/>
    </row>
    <row r="415905" spans="31:32" x14ac:dyDescent="0.25">
      <c r="AE415905" s="36"/>
      <c r="AF415905" s="36"/>
    </row>
    <row r="416001" spans="31:32" x14ac:dyDescent="0.25">
      <c r="AE416001" s="34"/>
      <c r="AF416001" s="34"/>
    </row>
    <row r="416009" spans="31:32" x14ac:dyDescent="0.25">
      <c r="AE416009" s="36"/>
      <c r="AF416009" s="36"/>
    </row>
    <row r="416105" spans="31:32" x14ac:dyDescent="0.25">
      <c r="AE416105" s="34"/>
      <c r="AF416105" s="34"/>
    </row>
    <row r="416113" spans="31:32" x14ac:dyDescent="0.25">
      <c r="AE416113" s="36"/>
      <c r="AF416113" s="36"/>
    </row>
    <row r="416209" spans="31:32" x14ac:dyDescent="0.25">
      <c r="AE416209" s="34"/>
      <c r="AF416209" s="34"/>
    </row>
    <row r="416217" spans="31:32" x14ac:dyDescent="0.25">
      <c r="AE416217" s="36"/>
      <c r="AF416217" s="36"/>
    </row>
    <row r="416313" spans="31:32" x14ac:dyDescent="0.25">
      <c r="AE416313" s="34"/>
      <c r="AF416313" s="34"/>
    </row>
    <row r="416321" spans="31:32" x14ac:dyDescent="0.25">
      <c r="AE416321" s="36"/>
      <c r="AF416321" s="36"/>
    </row>
    <row r="416417" spans="31:32" x14ac:dyDescent="0.25">
      <c r="AE416417" s="34"/>
      <c r="AF416417" s="34"/>
    </row>
    <row r="416425" spans="31:32" x14ac:dyDescent="0.25">
      <c r="AE416425" s="36"/>
      <c r="AF416425" s="36"/>
    </row>
    <row r="416521" spans="31:32" x14ac:dyDescent="0.25">
      <c r="AE416521" s="34"/>
      <c r="AF416521" s="34"/>
    </row>
    <row r="416529" spans="31:32" x14ac:dyDescent="0.25">
      <c r="AE416529" s="36"/>
      <c r="AF416529" s="36"/>
    </row>
    <row r="416625" spans="31:32" x14ac:dyDescent="0.25">
      <c r="AE416625" s="34"/>
      <c r="AF416625" s="34"/>
    </row>
    <row r="416633" spans="31:32" x14ac:dyDescent="0.25">
      <c r="AE416633" s="36"/>
      <c r="AF416633" s="36"/>
    </row>
    <row r="416729" spans="31:32" x14ac:dyDescent="0.25">
      <c r="AE416729" s="34"/>
      <c r="AF416729" s="34"/>
    </row>
    <row r="416737" spans="31:32" x14ac:dyDescent="0.25">
      <c r="AE416737" s="36"/>
      <c r="AF416737" s="36"/>
    </row>
    <row r="416833" spans="31:32" x14ac:dyDescent="0.25">
      <c r="AE416833" s="34"/>
      <c r="AF416833" s="34"/>
    </row>
    <row r="416841" spans="31:32" x14ac:dyDescent="0.25">
      <c r="AE416841" s="36"/>
      <c r="AF416841" s="36"/>
    </row>
    <row r="416937" spans="31:32" x14ac:dyDescent="0.25">
      <c r="AE416937" s="34"/>
      <c r="AF416937" s="34"/>
    </row>
    <row r="416945" spans="31:32" x14ac:dyDescent="0.25">
      <c r="AE416945" s="36"/>
      <c r="AF416945" s="36"/>
    </row>
    <row r="417041" spans="31:32" x14ac:dyDescent="0.25">
      <c r="AE417041" s="34"/>
      <c r="AF417041" s="34"/>
    </row>
    <row r="417049" spans="31:32" x14ac:dyDescent="0.25">
      <c r="AE417049" s="36"/>
      <c r="AF417049" s="36"/>
    </row>
    <row r="417145" spans="31:32" x14ac:dyDescent="0.25">
      <c r="AE417145" s="34"/>
      <c r="AF417145" s="34"/>
    </row>
    <row r="417153" spans="31:32" x14ac:dyDescent="0.25">
      <c r="AE417153" s="36"/>
      <c r="AF417153" s="36"/>
    </row>
    <row r="417249" spans="31:32" x14ac:dyDescent="0.25">
      <c r="AE417249" s="34"/>
      <c r="AF417249" s="34"/>
    </row>
    <row r="417257" spans="31:32" x14ac:dyDescent="0.25">
      <c r="AE417257" s="36"/>
      <c r="AF417257" s="36"/>
    </row>
    <row r="417353" spans="31:32" x14ac:dyDescent="0.25">
      <c r="AE417353" s="34"/>
      <c r="AF417353" s="34"/>
    </row>
    <row r="417361" spans="31:32" x14ac:dyDescent="0.25">
      <c r="AE417361" s="36"/>
      <c r="AF417361" s="36"/>
    </row>
    <row r="417457" spans="31:32" x14ac:dyDescent="0.25">
      <c r="AE417457" s="34"/>
      <c r="AF417457" s="34"/>
    </row>
    <row r="417465" spans="31:32" x14ac:dyDescent="0.25">
      <c r="AE417465" s="36"/>
      <c r="AF417465" s="36"/>
    </row>
    <row r="417561" spans="31:32" x14ac:dyDescent="0.25">
      <c r="AE417561" s="34"/>
      <c r="AF417561" s="34"/>
    </row>
    <row r="417569" spans="31:32" x14ac:dyDescent="0.25">
      <c r="AE417569" s="36"/>
      <c r="AF417569" s="36"/>
    </row>
    <row r="417665" spans="31:32" x14ac:dyDescent="0.25">
      <c r="AE417665" s="34"/>
      <c r="AF417665" s="34"/>
    </row>
    <row r="417673" spans="31:32" x14ac:dyDescent="0.25">
      <c r="AE417673" s="36"/>
      <c r="AF417673" s="36"/>
    </row>
    <row r="417769" spans="31:32" x14ac:dyDescent="0.25">
      <c r="AE417769" s="34"/>
      <c r="AF417769" s="34"/>
    </row>
    <row r="417777" spans="31:32" x14ac:dyDescent="0.25">
      <c r="AE417777" s="36"/>
      <c r="AF417777" s="36"/>
    </row>
    <row r="417873" spans="31:32" x14ac:dyDescent="0.25">
      <c r="AE417873" s="34"/>
      <c r="AF417873" s="34"/>
    </row>
    <row r="417881" spans="31:32" x14ac:dyDescent="0.25">
      <c r="AE417881" s="36"/>
      <c r="AF417881" s="36"/>
    </row>
    <row r="417977" spans="31:32" x14ac:dyDescent="0.25">
      <c r="AE417977" s="34"/>
      <c r="AF417977" s="34"/>
    </row>
    <row r="417985" spans="31:32" x14ac:dyDescent="0.25">
      <c r="AE417985" s="36"/>
      <c r="AF417985" s="36"/>
    </row>
    <row r="418081" spans="31:32" x14ac:dyDescent="0.25">
      <c r="AE418081" s="34"/>
      <c r="AF418081" s="34"/>
    </row>
    <row r="418089" spans="31:32" x14ac:dyDescent="0.25">
      <c r="AE418089" s="36"/>
      <c r="AF418089" s="36"/>
    </row>
    <row r="418185" spans="31:32" x14ac:dyDescent="0.25">
      <c r="AE418185" s="34"/>
      <c r="AF418185" s="34"/>
    </row>
    <row r="418193" spans="31:32" x14ac:dyDescent="0.25">
      <c r="AE418193" s="36"/>
      <c r="AF418193" s="36"/>
    </row>
    <row r="418289" spans="31:32" x14ac:dyDescent="0.25">
      <c r="AE418289" s="34"/>
      <c r="AF418289" s="34"/>
    </row>
    <row r="418297" spans="31:32" x14ac:dyDescent="0.25">
      <c r="AE418297" s="36"/>
      <c r="AF418297" s="36"/>
    </row>
    <row r="418393" spans="31:32" x14ac:dyDescent="0.25">
      <c r="AE418393" s="34"/>
      <c r="AF418393" s="34"/>
    </row>
    <row r="418401" spans="31:32" x14ac:dyDescent="0.25">
      <c r="AE418401" s="36"/>
      <c r="AF418401" s="36"/>
    </row>
    <row r="418497" spans="31:32" x14ac:dyDescent="0.25">
      <c r="AE418497" s="34"/>
      <c r="AF418497" s="34"/>
    </row>
    <row r="418505" spans="31:32" x14ac:dyDescent="0.25">
      <c r="AE418505" s="36"/>
      <c r="AF418505" s="36"/>
    </row>
    <row r="418601" spans="31:32" x14ac:dyDescent="0.25">
      <c r="AE418601" s="34"/>
      <c r="AF418601" s="34"/>
    </row>
    <row r="418609" spans="31:32" x14ac:dyDescent="0.25">
      <c r="AE418609" s="36"/>
      <c r="AF418609" s="36"/>
    </row>
    <row r="418705" spans="31:32" x14ac:dyDescent="0.25">
      <c r="AE418705" s="34"/>
      <c r="AF418705" s="34"/>
    </row>
    <row r="418713" spans="31:32" x14ac:dyDescent="0.25">
      <c r="AE418713" s="36"/>
      <c r="AF418713" s="36"/>
    </row>
    <row r="418809" spans="31:32" x14ac:dyDescent="0.25">
      <c r="AE418809" s="34"/>
      <c r="AF418809" s="34"/>
    </row>
    <row r="418817" spans="31:32" x14ac:dyDescent="0.25">
      <c r="AE418817" s="36"/>
      <c r="AF418817" s="36"/>
    </row>
    <row r="418913" spans="31:32" x14ac:dyDescent="0.25">
      <c r="AE418913" s="34"/>
      <c r="AF418913" s="34"/>
    </row>
    <row r="418921" spans="31:32" x14ac:dyDescent="0.25">
      <c r="AE418921" s="36"/>
      <c r="AF418921" s="36"/>
    </row>
    <row r="419017" spans="31:32" x14ac:dyDescent="0.25">
      <c r="AE419017" s="34"/>
      <c r="AF419017" s="34"/>
    </row>
    <row r="419025" spans="31:32" x14ac:dyDescent="0.25">
      <c r="AE419025" s="36"/>
      <c r="AF419025" s="36"/>
    </row>
    <row r="419121" spans="31:32" x14ac:dyDescent="0.25">
      <c r="AE419121" s="34"/>
      <c r="AF419121" s="34"/>
    </row>
    <row r="419129" spans="31:32" x14ac:dyDescent="0.25">
      <c r="AE419129" s="36"/>
      <c r="AF419129" s="36"/>
    </row>
    <row r="419225" spans="31:32" x14ac:dyDescent="0.25">
      <c r="AE419225" s="34"/>
      <c r="AF419225" s="34"/>
    </row>
    <row r="419233" spans="31:32" x14ac:dyDescent="0.25">
      <c r="AE419233" s="36"/>
      <c r="AF419233" s="36"/>
    </row>
    <row r="419329" spans="31:32" x14ac:dyDescent="0.25">
      <c r="AE419329" s="34"/>
      <c r="AF419329" s="34"/>
    </row>
    <row r="419337" spans="31:32" x14ac:dyDescent="0.25">
      <c r="AE419337" s="36"/>
      <c r="AF419337" s="36"/>
    </row>
    <row r="419433" spans="31:32" x14ac:dyDescent="0.25">
      <c r="AE419433" s="34"/>
      <c r="AF419433" s="34"/>
    </row>
    <row r="419441" spans="31:32" x14ac:dyDescent="0.25">
      <c r="AE419441" s="36"/>
      <c r="AF419441" s="36"/>
    </row>
    <row r="419537" spans="31:32" x14ac:dyDescent="0.25">
      <c r="AE419537" s="34"/>
      <c r="AF419537" s="34"/>
    </row>
    <row r="419545" spans="31:32" x14ac:dyDescent="0.25">
      <c r="AE419545" s="36"/>
      <c r="AF419545" s="36"/>
    </row>
    <row r="419641" spans="31:32" x14ac:dyDescent="0.25">
      <c r="AE419641" s="34"/>
      <c r="AF419641" s="34"/>
    </row>
    <row r="419649" spans="31:32" x14ac:dyDescent="0.25">
      <c r="AE419649" s="36"/>
      <c r="AF419649" s="36"/>
    </row>
    <row r="419745" spans="31:32" x14ac:dyDescent="0.25">
      <c r="AE419745" s="34"/>
      <c r="AF419745" s="34"/>
    </row>
    <row r="419753" spans="31:32" x14ac:dyDescent="0.25">
      <c r="AE419753" s="36"/>
      <c r="AF419753" s="36"/>
    </row>
    <row r="419849" spans="31:32" x14ac:dyDescent="0.25">
      <c r="AE419849" s="34"/>
      <c r="AF419849" s="34"/>
    </row>
    <row r="419857" spans="31:32" x14ac:dyDescent="0.25">
      <c r="AE419857" s="36"/>
      <c r="AF419857" s="36"/>
    </row>
    <row r="419953" spans="31:32" x14ac:dyDescent="0.25">
      <c r="AE419953" s="34"/>
      <c r="AF419953" s="34"/>
    </row>
    <row r="419961" spans="31:32" x14ac:dyDescent="0.25">
      <c r="AE419961" s="36"/>
      <c r="AF419961" s="36"/>
    </row>
    <row r="420057" spans="31:32" x14ac:dyDescent="0.25">
      <c r="AE420057" s="34"/>
      <c r="AF420057" s="34"/>
    </row>
    <row r="420065" spans="31:32" x14ac:dyDescent="0.25">
      <c r="AE420065" s="36"/>
      <c r="AF420065" s="36"/>
    </row>
    <row r="420161" spans="31:32" x14ac:dyDescent="0.25">
      <c r="AE420161" s="34"/>
      <c r="AF420161" s="34"/>
    </row>
    <row r="420169" spans="31:32" x14ac:dyDescent="0.25">
      <c r="AE420169" s="36"/>
      <c r="AF420169" s="36"/>
    </row>
    <row r="420265" spans="31:32" x14ac:dyDescent="0.25">
      <c r="AE420265" s="34"/>
      <c r="AF420265" s="34"/>
    </row>
    <row r="420273" spans="31:32" x14ac:dyDescent="0.25">
      <c r="AE420273" s="36"/>
      <c r="AF420273" s="36"/>
    </row>
    <row r="420369" spans="31:32" x14ac:dyDescent="0.25">
      <c r="AE420369" s="34"/>
      <c r="AF420369" s="34"/>
    </row>
    <row r="420377" spans="31:32" x14ac:dyDescent="0.25">
      <c r="AE420377" s="36"/>
      <c r="AF420377" s="36"/>
    </row>
    <row r="420473" spans="31:32" x14ac:dyDescent="0.25">
      <c r="AE420473" s="34"/>
      <c r="AF420473" s="34"/>
    </row>
    <row r="420481" spans="31:32" x14ac:dyDescent="0.25">
      <c r="AE420481" s="36"/>
      <c r="AF420481" s="36"/>
    </row>
    <row r="420577" spans="31:32" x14ac:dyDescent="0.25">
      <c r="AE420577" s="34"/>
      <c r="AF420577" s="34"/>
    </row>
    <row r="420585" spans="31:32" x14ac:dyDescent="0.25">
      <c r="AE420585" s="36"/>
      <c r="AF420585" s="36"/>
    </row>
    <row r="420681" spans="31:32" x14ac:dyDescent="0.25">
      <c r="AE420681" s="34"/>
      <c r="AF420681" s="34"/>
    </row>
    <row r="420689" spans="31:32" x14ac:dyDescent="0.25">
      <c r="AE420689" s="36"/>
      <c r="AF420689" s="36"/>
    </row>
    <row r="420785" spans="31:32" x14ac:dyDescent="0.25">
      <c r="AE420785" s="34"/>
      <c r="AF420785" s="34"/>
    </row>
    <row r="420793" spans="31:32" x14ac:dyDescent="0.25">
      <c r="AE420793" s="36"/>
      <c r="AF420793" s="36"/>
    </row>
    <row r="420889" spans="31:32" x14ac:dyDescent="0.25">
      <c r="AE420889" s="34"/>
      <c r="AF420889" s="34"/>
    </row>
    <row r="420897" spans="31:32" x14ac:dyDescent="0.25">
      <c r="AE420897" s="36"/>
      <c r="AF420897" s="36"/>
    </row>
    <row r="420993" spans="31:32" x14ac:dyDescent="0.25">
      <c r="AE420993" s="34"/>
      <c r="AF420993" s="34"/>
    </row>
    <row r="421001" spans="31:32" x14ac:dyDescent="0.25">
      <c r="AE421001" s="36"/>
      <c r="AF421001" s="36"/>
    </row>
    <row r="421097" spans="31:32" x14ac:dyDescent="0.25">
      <c r="AE421097" s="34"/>
      <c r="AF421097" s="34"/>
    </row>
    <row r="421105" spans="31:32" x14ac:dyDescent="0.25">
      <c r="AE421105" s="36"/>
      <c r="AF421105" s="36"/>
    </row>
    <row r="421201" spans="31:32" x14ac:dyDescent="0.25">
      <c r="AE421201" s="34"/>
      <c r="AF421201" s="34"/>
    </row>
    <row r="421209" spans="31:32" x14ac:dyDescent="0.25">
      <c r="AE421209" s="36"/>
      <c r="AF421209" s="36"/>
    </row>
    <row r="421305" spans="31:32" x14ac:dyDescent="0.25">
      <c r="AE421305" s="34"/>
      <c r="AF421305" s="34"/>
    </row>
    <row r="421313" spans="31:32" x14ac:dyDescent="0.25">
      <c r="AE421313" s="36"/>
      <c r="AF421313" s="36"/>
    </row>
    <row r="421409" spans="31:32" x14ac:dyDescent="0.25">
      <c r="AE421409" s="34"/>
      <c r="AF421409" s="34"/>
    </row>
    <row r="421417" spans="31:32" x14ac:dyDescent="0.25">
      <c r="AE421417" s="36"/>
      <c r="AF421417" s="36"/>
    </row>
    <row r="421513" spans="31:32" x14ac:dyDescent="0.25">
      <c r="AE421513" s="34"/>
      <c r="AF421513" s="34"/>
    </row>
    <row r="421521" spans="31:32" x14ac:dyDescent="0.25">
      <c r="AE421521" s="36"/>
      <c r="AF421521" s="36"/>
    </row>
    <row r="421617" spans="31:32" x14ac:dyDescent="0.25">
      <c r="AE421617" s="34"/>
      <c r="AF421617" s="34"/>
    </row>
    <row r="421625" spans="31:32" x14ac:dyDescent="0.25">
      <c r="AE421625" s="36"/>
      <c r="AF421625" s="36"/>
    </row>
    <row r="421721" spans="31:32" x14ac:dyDescent="0.25">
      <c r="AE421721" s="34"/>
      <c r="AF421721" s="34"/>
    </row>
    <row r="421729" spans="31:32" x14ac:dyDescent="0.25">
      <c r="AE421729" s="36"/>
      <c r="AF421729" s="36"/>
    </row>
    <row r="421825" spans="31:32" x14ac:dyDescent="0.25">
      <c r="AE421825" s="34"/>
      <c r="AF421825" s="34"/>
    </row>
    <row r="421833" spans="31:32" x14ac:dyDescent="0.25">
      <c r="AE421833" s="36"/>
      <c r="AF421833" s="36"/>
    </row>
    <row r="421929" spans="31:32" x14ac:dyDescent="0.25">
      <c r="AE421929" s="34"/>
      <c r="AF421929" s="34"/>
    </row>
    <row r="421937" spans="31:32" x14ac:dyDescent="0.25">
      <c r="AE421937" s="36"/>
      <c r="AF421937" s="36"/>
    </row>
    <row r="422033" spans="31:32" x14ac:dyDescent="0.25">
      <c r="AE422033" s="34"/>
      <c r="AF422033" s="34"/>
    </row>
    <row r="422041" spans="31:32" x14ac:dyDescent="0.25">
      <c r="AE422041" s="36"/>
      <c r="AF422041" s="36"/>
    </row>
    <row r="422137" spans="31:32" x14ac:dyDescent="0.25">
      <c r="AE422137" s="34"/>
      <c r="AF422137" s="34"/>
    </row>
    <row r="422145" spans="31:32" x14ac:dyDescent="0.25">
      <c r="AE422145" s="36"/>
      <c r="AF422145" s="36"/>
    </row>
    <row r="422241" spans="31:32" x14ac:dyDescent="0.25">
      <c r="AE422241" s="34"/>
      <c r="AF422241" s="34"/>
    </row>
    <row r="422249" spans="31:32" x14ac:dyDescent="0.25">
      <c r="AE422249" s="36"/>
      <c r="AF422249" s="36"/>
    </row>
    <row r="422345" spans="31:32" x14ac:dyDescent="0.25">
      <c r="AE422345" s="34"/>
      <c r="AF422345" s="34"/>
    </row>
    <row r="422353" spans="31:32" x14ac:dyDescent="0.25">
      <c r="AE422353" s="36"/>
      <c r="AF422353" s="36"/>
    </row>
    <row r="422449" spans="31:32" x14ac:dyDescent="0.25">
      <c r="AE422449" s="34"/>
      <c r="AF422449" s="34"/>
    </row>
    <row r="422457" spans="31:32" x14ac:dyDescent="0.25">
      <c r="AE422457" s="36"/>
      <c r="AF422457" s="36"/>
    </row>
    <row r="422553" spans="31:32" x14ac:dyDescent="0.25">
      <c r="AE422553" s="34"/>
      <c r="AF422553" s="34"/>
    </row>
    <row r="422561" spans="31:32" x14ac:dyDescent="0.25">
      <c r="AE422561" s="36"/>
      <c r="AF422561" s="36"/>
    </row>
    <row r="422657" spans="31:32" x14ac:dyDescent="0.25">
      <c r="AE422657" s="34"/>
      <c r="AF422657" s="34"/>
    </row>
    <row r="422665" spans="31:32" x14ac:dyDescent="0.25">
      <c r="AE422665" s="36"/>
      <c r="AF422665" s="36"/>
    </row>
    <row r="422761" spans="31:32" x14ac:dyDescent="0.25">
      <c r="AE422761" s="34"/>
      <c r="AF422761" s="34"/>
    </row>
    <row r="422769" spans="31:32" x14ac:dyDescent="0.25">
      <c r="AE422769" s="36"/>
      <c r="AF422769" s="36"/>
    </row>
    <row r="422865" spans="31:32" x14ac:dyDescent="0.25">
      <c r="AE422865" s="34"/>
      <c r="AF422865" s="34"/>
    </row>
    <row r="422873" spans="31:32" x14ac:dyDescent="0.25">
      <c r="AE422873" s="36"/>
      <c r="AF422873" s="36"/>
    </row>
    <row r="422969" spans="31:32" x14ac:dyDescent="0.25">
      <c r="AE422969" s="34"/>
      <c r="AF422969" s="34"/>
    </row>
    <row r="422977" spans="31:32" x14ac:dyDescent="0.25">
      <c r="AE422977" s="36"/>
      <c r="AF422977" s="36"/>
    </row>
    <row r="423073" spans="31:32" x14ac:dyDescent="0.25">
      <c r="AE423073" s="34"/>
      <c r="AF423073" s="34"/>
    </row>
    <row r="423081" spans="31:32" x14ac:dyDescent="0.25">
      <c r="AE423081" s="36"/>
      <c r="AF423081" s="36"/>
    </row>
    <row r="423177" spans="31:32" x14ac:dyDescent="0.25">
      <c r="AE423177" s="34"/>
      <c r="AF423177" s="34"/>
    </row>
    <row r="423185" spans="31:32" x14ac:dyDescent="0.25">
      <c r="AE423185" s="36"/>
      <c r="AF423185" s="36"/>
    </row>
    <row r="423281" spans="31:32" x14ac:dyDescent="0.25">
      <c r="AE423281" s="34"/>
      <c r="AF423281" s="34"/>
    </row>
    <row r="423289" spans="31:32" x14ac:dyDescent="0.25">
      <c r="AE423289" s="36"/>
      <c r="AF423289" s="36"/>
    </row>
    <row r="423385" spans="31:32" x14ac:dyDescent="0.25">
      <c r="AE423385" s="34"/>
      <c r="AF423385" s="34"/>
    </row>
    <row r="423393" spans="31:32" x14ac:dyDescent="0.25">
      <c r="AE423393" s="36"/>
      <c r="AF423393" s="36"/>
    </row>
    <row r="423489" spans="31:32" x14ac:dyDescent="0.25">
      <c r="AE423489" s="34"/>
      <c r="AF423489" s="34"/>
    </row>
    <row r="423497" spans="31:32" x14ac:dyDescent="0.25">
      <c r="AE423497" s="36"/>
      <c r="AF423497" s="36"/>
    </row>
    <row r="423593" spans="31:32" x14ac:dyDescent="0.25">
      <c r="AE423593" s="34"/>
      <c r="AF423593" s="34"/>
    </row>
    <row r="423601" spans="31:32" x14ac:dyDescent="0.25">
      <c r="AE423601" s="36"/>
      <c r="AF423601" s="36"/>
    </row>
    <row r="423697" spans="31:32" x14ac:dyDescent="0.25">
      <c r="AE423697" s="34"/>
      <c r="AF423697" s="34"/>
    </row>
    <row r="423705" spans="31:32" x14ac:dyDescent="0.25">
      <c r="AE423705" s="36"/>
      <c r="AF423705" s="36"/>
    </row>
    <row r="423801" spans="31:32" x14ac:dyDescent="0.25">
      <c r="AE423801" s="34"/>
      <c r="AF423801" s="34"/>
    </row>
    <row r="423809" spans="31:32" x14ac:dyDescent="0.25">
      <c r="AE423809" s="36"/>
      <c r="AF423809" s="36"/>
    </row>
    <row r="423905" spans="31:32" x14ac:dyDescent="0.25">
      <c r="AE423905" s="34"/>
      <c r="AF423905" s="34"/>
    </row>
    <row r="423913" spans="31:32" x14ac:dyDescent="0.25">
      <c r="AE423913" s="36"/>
      <c r="AF423913" s="36"/>
    </row>
    <row r="424009" spans="31:32" x14ac:dyDescent="0.25">
      <c r="AE424009" s="34"/>
      <c r="AF424009" s="34"/>
    </row>
    <row r="424017" spans="31:32" x14ac:dyDescent="0.25">
      <c r="AE424017" s="36"/>
      <c r="AF424017" s="36"/>
    </row>
    <row r="424113" spans="31:32" x14ac:dyDescent="0.25">
      <c r="AE424113" s="34"/>
      <c r="AF424113" s="34"/>
    </row>
    <row r="424121" spans="31:32" x14ac:dyDescent="0.25">
      <c r="AE424121" s="36"/>
      <c r="AF424121" s="36"/>
    </row>
    <row r="424217" spans="31:32" x14ac:dyDescent="0.25">
      <c r="AE424217" s="34"/>
      <c r="AF424217" s="34"/>
    </row>
    <row r="424225" spans="31:32" x14ac:dyDescent="0.25">
      <c r="AE424225" s="36"/>
      <c r="AF424225" s="36"/>
    </row>
    <row r="424321" spans="31:32" x14ac:dyDescent="0.25">
      <c r="AE424321" s="34"/>
      <c r="AF424321" s="34"/>
    </row>
    <row r="424329" spans="31:32" x14ac:dyDescent="0.25">
      <c r="AE424329" s="36"/>
      <c r="AF424329" s="36"/>
    </row>
    <row r="424425" spans="31:32" x14ac:dyDescent="0.25">
      <c r="AE424425" s="34"/>
      <c r="AF424425" s="34"/>
    </row>
    <row r="424433" spans="31:32" x14ac:dyDescent="0.25">
      <c r="AE424433" s="36"/>
      <c r="AF424433" s="36"/>
    </row>
    <row r="424529" spans="31:32" x14ac:dyDescent="0.25">
      <c r="AE424529" s="34"/>
      <c r="AF424529" s="34"/>
    </row>
    <row r="424537" spans="31:32" x14ac:dyDescent="0.25">
      <c r="AE424537" s="36"/>
      <c r="AF424537" s="36"/>
    </row>
    <row r="424633" spans="31:32" x14ac:dyDescent="0.25">
      <c r="AE424633" s="34"/>
      <c r="AF424633" s="34"/>
    </row>
    <row r="424641" spans="31:32" x14ac:dyDescent="0.25">
      <c r="AE424641" s="36"/>
      <c r="AF424641" s="36"/>
    </row>
    <row r="424737" spans="31:32" x14ac:dyDescent="0.25">
      <c r="AE424737" s="34"/>
      <c r="AF424737" s="34"/>
    </row>
    <row r="424745" spans="31:32" x14ac:dyDescent="0.25">
      <c r="AE424745" s="36"/>
      <c r="AF424745" s="36"/>
    </row>
    <row r="424841" spans="31:32" x14ac:dyDescent="0.25">
      <c r="AE424841" s="34"/>
      <c r="AF424841" s="34"/>
    </row>
    <row r="424849" spans="31:32" x14ac:dyDescent="0.25">
      <c r="AE424849" s="36"/>
      <c r="AF424849" s="36"/>
    </row>
    <row r="424945" spans="31:32" x14ac:dyDescent="0.25">
      <c r="AE424945" s="34"/>
      <c r="AF424945" s="34"/>
    </row>
    <row r="424953" spans="31:32" x14ac:dyDescent="0.25">
      <c r="AE424953" s="36"/>
      <c r="AF424953" s="36"/>
    </row>
    <row r="425049" spans="31:32" x14ac:dyDescent="0.25">
      <c r="AE425049" s="34"/>
      <c r="AF425049" s="34"/>
    </row>
    <row r="425057" spans="31:32" x14ac:dyDescent="0.25">
      <c r="AE425057" s="36"/>
      <c r="AF425057" s="36"/>
    </row>
    <row r="425153" spans="31:32" x14ac:dyDescent="0.25">
      <c r="AE425153" s="34"/>
      <c r="AF425153" s="34"/>
    </row>
    <row r="425161" spans="31:32" x14ac:dyDescent="0.25">
      <c r="AE425161" s="36"/>
      <c r="AF425161" s="36"/>
    </row>
    <row r="425257" spans="31:32" x14ac:dyDescent="0.25">
      <c r="AE425257" s="34"/>
      <c r="AF425257" s="34"/>
    </row>
    <row r="425265" spans="31:32" x14ac:dyDescent="0.25">
      <c r="AE425265" s="36"/>
      <c r="AF425265" s="36"/>
    </row>
    <row r="425361" spans="31:32" x14ac:dyDescent="0.25">
      <c r="AE425361" s="34"/>
      <c r="AF425361" s="34"/>
    </row>
    <row r="425369" spans="31:32" x14ac:dyDescent="0.25">
      <c r="AE425369" s="36"/>
      <c r="AF425369" s="36"/>
    </row>
    <row r="425465" spans="31:32" x14ac:dyDescent="0.25">
      <c r="AE425465" s="34"/>
      <c r="AF425465" s="34"/>
    </row>
    <row r="425473" spans="31:32" x14ac:dyDescent="0.25">
      <c r="AE425473" s="36"/>
      <c r="AF425473" s="36"/>
    </row>
    <row r="425569" spans="31:32" x14ac:dyDescent="0.25">
      <c r="AE425569" s="34"/>
      <c r="AF425569" s="34"/>
    </row>
    <row r="425577" spans="31:32" x14ac:dyDescent="0.25">
      <c r="AE425577" s="36"/>
      <c r="AF425577" s="36"/>
    </row>
    <row r="425673" spans="31:32" x14ac:dyDescent="0.25">
      <c r="AE425673" s="34"/>
      <c r="AF425673" s="34"/>
    </row>
    <row r="425681" spans="31:32" x14ac:dyDescent="0.25">
      <c r="AE425681" s="36"/>
      <c r="AF425681" s="36"/>
    </row>
    <row r="425777" spans="31:32" x14ac:dyDescent="0.25">
      <c r="AE425777" s="34"/>
      <c r="AF425777" s="34"/>
    </row>
    <row r="425785" spans="31:32" x14ac:dyDescent="0.25">
      <c r="AE425785" s="36"/>
      <c r="AF425785" s="36"/>
    </row>
    <row r="425881" spans="31:32" x14ac:dyDescent="0.25">
      <c r="AE425881" s="34"/>
      <c r="AF425881" s="34"/>
    </row>
    <row r="425889" spans="31:32" x14ac:dyDescent="0.25">
      <c r="AE425889" s="36"/>
      <c r="AF425889" s="36"/>
    </row>
    <row r="425985" spans="31:32" x14ac:dyDescent="0.25">
      <c r="AE425985" s="34"/>
      <c r="AF425985" s="34"/>
    </row>
    <row r="425993" spans="31:32" x14ac:dyDescent="0.25">
      <c r="AE425993" s="36"/>
      <c r="AF425993" s="36"/>
    </row>
    <row r="426089" spans="31:32" x14ac:dyDescent="0.25">
      <c r="AE426089" s="34"/>
      <c r="AF426089" s="34"/>
    </row>
    <row r="426097" spans="31:32" x14ac:dyDescent="0.25">
      <c r="AE426097" s="36"/>
      <c r="AF426097" s="36"/>
    </row>
    <row r="426193" spans="31:32" x14ac:dyDescent="0.25">
      <c r="AE426193" s="34"/>
      <c r="AF426193" s="34"/>
    </row>
    <row r="426201" spans="31:32" x14ac:dyDescent="0.25">
      <c r="AE426201" s="36"/>
      <c r="AF426201" s="36"/>
    </row>
    <row r="426297" spans="31:32" x14ac:dyDescent="0.25">
      <c r="AE426297" s="34"/>
      <c r="AF426297" s="34"/>
    </row>
    <row r="426305" spans="31:32" x14ac:dyDescent="0.25">
      <c r="AE426305" s="36"/>
      <c r="AF426305" s="36"/>
    </row>
    <row r="426401" spans="31:32" x14ac:dyDescent="0.25">
      <c r="AE426401" s="34"/>
      <c r="AF426401" s="34"/>
    </row>
    <row r="426409" spans="31:32" x14ac:dyDescent="0.25">
      <c r="AE426409" s="36"/>
      <c r="AF426409" s="36"/>
    </row>
    <row r="426505" spans="31:32" x14ac:dyDescent="0.25">
      <c r="AE426505" s="34"/>
      <c r="AF426505" s="34"/>
    </row>
    <row r="426513" spans="31:32" x14ac:dyDescent="0.25">
      <c r="AE426513" s="36"/>
      <c r="AF426513" s="36"/>
    </row>
    <row r="426609" spans="31:32" x14ac:dyDescent="0.25">
      <c r="AE426609" s="34"/>
      <c r="AF426609" s="34"/>
    </row>
    <row r="426617" spans="31:32" x14ac:dyDescent="0.25">
      <c r="AE426617" s="36"/>
      <c r="AF426617" s="36"/>
    </row>
    <row r="426713" spans="31:32" x14ac:dyDescent="0.25">
      <c r="AE426713" s="34"/>
      <c r="AF426713" s="34"/>
    </row>
    <row r="426721" spans="31:32" x14ac:dyDescent="0.25">
      <c r="AE426721" s="36"/>
      <c r="AF426721" s="36"/>
    </row>
    <row r="426817" spans="31:32" x14ac:dyDescent="0.25">
      <c r="AE426817" s="34"/>
      <c r="AF426817" s="34"/>
    </row>
    <row r="426825" spans="31:32" x14ac:dyDescent="0.25">
      <c r="AE426825" s="36"/>
      <c r="AF426825" s="36"/>
    </row>
    <row r="426921" spans="31:32" x14ac:dyDescent="0.25">
      <c r="AE426921" s="34"/>
      <c r="AF426921" s="34"/>
    </row>
    <row r="426929" spans="31:32" x14ac:dyDescent="0.25">
      <c r="AE426929" s="36"/>
      <c r="AF426929" s="36"/>
    </row>
    <row r="427025" spans="31:32" x14ac:dyDescent="0.25">
      <c r="AE427025" s="34"/>
      <c r="AF427025" s="34"/>
    </row>
    <row r="427033" spans="31:32" x14ac:dyDescent="0.25">
      <c r="AE427033" s="36"/>
      <c r="AF427033" s="36"/>
    </row>
    <row r="427129" spans="31:32" x14ac:dyDescent="0.25">
      <c r="AE427129" s="34"/>
      <c r="AF427129" s="34"/>
    </row>
    <row r="427137" spans="31:32" x14ac:dyDescent="0.25">
      <c r="AE427137" s="36"/>
      <c r="AF427137" s="36"/>
    </row>
    <row r="427233" spans="31:32" x14ac:dyDescent="0.25">
      <c r="AE427233" s="34"/>
      <c r="AF427233" s="34"/>
    </row>
    <row r="427241" spans="31:32" x14ac:dyDescent="0.25">
      <c r="AE427241" s="36"/>
      <c r="AF427241" s="36"/>
    </row>
    <row r="427337" spans="31:32" x14ac:dyDescent="0.25">
      <c r="AE427337" s="34"/>
      <c r="AF427337" s="34"/>
    </row>
    <row r="427345" spans="31:32" x14ac:dyDescent="0.25">
      <c r="AE427345" s="36"/>
      <c r="AF427345" s="36"/>
    </row>
    <row r="427441" spans="31:32" x14ac:dyDescent="0.25">
      <c r="AE427441" s="34"/>
      <c r="AF427441" s="34"/>
    </row>
    <row r="427449" spans="31:32" x14ac:dyDescent="0.25">
      <c r="AE427449" s="36"/>
      <c r="AF427449" s="36"/>
    </row>
    <row r="427545" spans="31:32" x14ac:dyDescent="0.25">
      <c r="AE427545" s="34"/>
      <c r="AF427545" s="34"/>
    </row>
    <row r="427553" spans="31:32" x14ac:dyDescent="0.25">
      <c r="AE427553" s="36"/>
      <c r="AF427553" s="36"/>
    </row>
    <row r="427649" spans="31:32" x14ac:dyDescent="0.25">
      <c r="AE427649" s="34"/>
      <c r="AF427649" s="34"/>
    </row>
    <row r="427657" spans="31:32" x14ac:dyDescent="0.25">
      <c r="AE427657" s="36"/>
      <c r="AF427657" s="36"/>
    </row>
    <row r="427753" spans="31:32" x14ac:dyDescent="0.25">
      <c r="AE427753" s="34"/>
      <c r="AF427753" s="34"/>
    </row>
    <row r="427761" spans="31:32" x14ac:dyDescent="0.25">
      <c r="AE427761" s="36"/>
      <c r="AF427761" s="36"/>
    </row>
    <row r="427857" spans="31:32" x14ac:dyDescent="0.25">
      <c r="AE427857" s="34"/>
      <c r="AF427857" s="34"/>
    </row>
    <row r="427865" spans="31:32" x14ac:dyDescent="0.25">
      <c r="AE427865" s="36"/>
      <c r="AF427865" s="36"/>
    </row>
    <row r="427961" spans="31:32" x14ac:dyDescent="0.25">
      <c r="AE427961" s="34"/>
      <c r="AF427961" s="34"/>
    </row>
    <row r="427969" spans="31:32" x14ac:dyDescent="0.25">
      <c r="AE427969" s="36"/>
      <c r="AF427969" s="36"/>
    </row>
    <row r="428065" spans="31:32" x14ac:dyDescent="0.25">
      <c r="AE428065" s="34"/>
      <c r="AF428065" s="34"/>
    </row>
    <row r="428073" spans="31:32" x14ac:dyDescent="0.25">
      <c r="AE428073" s="36"/>
      <c r="AF428073" s="36"/>
    </row>
    <row r="428169" spans="31:32" x14ac:dyDescent="0.25">
      <c r="AE428169" s="34"/>
      <c r="AF428169" s="34"/>
    </row>
    <row r="428177" spans="31:32" x14ac:dyDescent="0.25">
      <c r="AE428177" s="36"/>
      <c r="AF428177" s="36"/>
    </row>
    <row r="428273" spans="31:32" x14ac:dyDescent="0.25">
      <c r="AE428273" s="34"/>
      <c r="AF428273" s="34"/>
    </row>
    <row r="428281" spans="31:32" x14ac:dyDescent="0.25">
      <c r="AE428281" s="36"/>
      <c r="AF428281" s="36"/>
    </row>
    <row r="428377" spans="31:32" x14ac:dyDescent="0.25">
      <c r="AE428377" s="34"/>
      <c r="AF428377" s="34"/>
    </row>
    <row r="428385" spans="31:32" x14ac:dyDescent="0.25">
      <c r="AE428385" s="36"/>
      <c r="AF428385" s="36"/>
    </row>
    <row r="428481" spans="31:32" x14ac:dyDescent="0.25">
      <c r="AE428481" s="34"/>
      <c r="AF428481" s="34"/>
    </row>
    <row r="428489" spans="31:32" x14ac:dyDescent="0.25">
      <c r="AE428489" s="36"/>
      <c r="AF428489" s="36"/>
    </row>
    <row r="428585" spans="31:32" x14ac:dyDescent="0.25">
      <c r="AE428585" s="34"/>
      <c r="AF428585" s="34"/>
    </row>
    <row r="428593" spans="31:32" x14ac:dyDescent="0.25">
      <c r="AE428593" s="36"/>
      <c r="AF428593" s="36"/>
    </row>
    <row r="428689" spans="31:32" x14ac:dyDescent="0.25">
      <c r="AE428689" s="34"/>
      <c r="AF428689" s="34"/>
    </row>
    <row r="428697" spans="31:32" x14ac:dyDescent="0.25">
      <c r="AE428697" s="36"/>
      <c r="AF428697" s="36"/>
    </row>
    <row r="428793" spans="31:32" x14ac:dyDescent="0.25">
      <c r="AE428793" s="34"/>
      <c r="AF428793" s="34"/>
    </row>
    <row r="428801" spans="31:32" x14ac:dyDescent="0.25">
      <c r="AE428801" s="36"/>
      <c r="AF428801" s="36"/>
    </row>
    <row r="428897" spans="31:32" x14ac:dyDescent="0.25">
      <c r="AE428897" s="34"/>
      <c r="AF428897" s="34"/>
    </row>
    <row r="428905" spans="31:32" x14ac:dyDescent="0.25">
      <c r="AE428905" s="36"/>
      <c r="AF428905" s="36"/>
    </row>
    <row r="429001" spans="31:32" x14ac:dyDescent="0.25">
      <c r="AE429001" s="34"/>
      <c r="AF429001" s="34"/>
    </row>
    <row r="429009" spans="31:32" x14ac:dyDescent="0.25">
      <c r="AE429009" s="36"/>
      <c r="AF429009" s="36"/>
    </row>
    <row r="429105" spans="31:32" x14ac:dyDescent="0.25">
      <c r="AE429105" s="34"/>
      <c r="AF429105" s="34"/>
    </row>
    <row r="429113" spans="31:32" x14ac:dyDescent="0.25">
      <c r="AE429113" s="36"/>
      <c r="AF429113" s="36"/>
    </row>
    <row r="429209" spans="31:32" x14ac:dyDescent="0.25">
      <c r="AE429209" s="34"/>
      <c r="AF429209" s="34"/>
    </row>
    <row r="429217" spans="31:32" x14ac:dyDescent="0.25">
      <c r="AE429217" s="36"/>
      <c r="AF429217" s="36"/>
    </row>
    <row r="429313" spans="31:32" x14ac:dyDescent="0.25">
      <c r="AE429313" s="34"/>
      <c r="AF429313" s="34"/>
    </row>
    <row r="429321" spans="31:32" x14ac:dyDescent="0.25">
      <c r="AE429321" s="36"/>
      <c r="AF429321" s="36"/>
    </row>
    <row r="429417" spans="31:32" x14ac:dyDescent="0.25">
      <c r="AE429417" s="34"/>
      <c r="AF429417" s="34"/>
    </row>
    <row r="429425" spans="31:32" x14ac:dyDescent="0.25">
      <c r="AE429425" s="36"/>
      <c r="AF429425" s="36"/>
    </row>
    <row r="429521" spans="31:32" x14ac:dyDescent="0.25">
      <c r="AE429521" s="34"/>
      <c r="AF429521" s="34"/>
    </row>
    <row r="429529" spans="31:32" x14ac:dyDescent="0.25">
      <c r="AE429529" s="36"/>
      <c r="AF429529" s="36"/>
    </row>
    <row r="429625" spans="31:32" x14ac:dyDescent="0.25">
      <c r="AE429625" s="34"/>
      <c r="AF429625" s="34"/>
    </row>
    <row r="429633" spans="31:32" x14ac:dyDescent="0.25">
      <c r="AE429633" s="36"/>
      <c r="AF429633" s="36"/>
    </row>
    <row r="429729" spans="31:32" x14ac:dyDescent="0.25">
      <c r="AE429729" s="34"/>
      <c r="AF429729" s="34"/>
    </row>
    <row r="429737" spans="31:32" x14ac:dyDescent="0.25">
      <c r="AE429737" s="36"/>
      <c r="AF429737" s="36"/>
    </row>
    <row r="429833" spans="31:32" x14ac:dyDescent="0.25">
      <c r="AE429833" s="34"/>
      <c r="AF429833" s="34"/>
    </row>
    <row r="429841" spans="31:32" x14ac:dyDescent="0.25">
      <c r="AE429841" s="36"/>
      <c r="AF429841" s="36"/>
    </row>
    <row r="429937" spans="31:32" x14ac:dyDescent="0.25">
      <c r="AE429937" s="34"/>
      <c r="AF429937" s="34"/>
    </row>
    <row r="429945" spans="31:32" x14ac:dyDescent="0.25">
      <c r="AE429945" s="36"/>
      <c r="AF429945" s="36"/>
    </row>
    <row r="430041" spans="31:32" x14ac:dyDescent="0.25">
      <c r="AE430041" s="34"/>
      <c r="AF430041" s="34"/>
    </row>
    <row r="430049" spans="31:32" x14ac:dyDescent="0.25">
      <c r="AE430049" s="36"/>
      <c r="AF430049" s="36"/>
    </row>
    <row r="430145" spans="31:32" x14ac:dyDescent="0.25">
      <c r="AE430145" s="34"/>
      <c r="AF430145" s="34"/>
    </row>
    <row r="430153" spans="31:32" x14ac:dyDescent="0.25">
      <c r="AE430153" s="36"/>
      <c r="AF430153" s="36"/>
    </row>
    <row r="430249" spans="31:32" x14ac:dyDescent="0.25">
      <c r="AE430249" s="34"/>
      <c r="AF430249" s="34"/>
    </row>
    <row r="430257" spans="31:32" x14ac:dyDescent="0.25">
      <c r="AE430257" s="36"/>
      <c r="AF430257" s="36"/>
    </row>
    <row r="430353" spans="31:32" x14ac:dyDescent="0.25">
      <c r="AE430353" s="34"/>
      <c r="AF430353" s="34"/>
    </row>
    <row r="430361" spans="31:32" x14ac:dyDescent="0.25">
      <c r="AE430361" s="36"/>
      <c r="AF430361" s="36"/>
    </row>
    <row r="430457" spans="31:32" x14ac:dyDescent="0.25">
      <c r="AE430457" s="34"/>
      <c r="AF430457" s="34"/>
    </row>
    <row r="430465" spans="31:32" x14ac:dyDescent="0.25">
      <c r="AE430465" s="36"/>
      <c r="AF430465" s="36"/>
    </row>
    <row r="430561" spans="31:32" x14ac:dyDescent="0.25">
      <c r="AE430561" s="34"/>
      <c r="AF430561" s="34"/>
    </row>
    <row r="430569" spans="31:32" x14ac:dyDescent="0.25">
      <c r="AE430569" s="36"/>
      <c r="AF430569" s="36"/>
    </row>
    <row r="430665" spans="31:32" x14ac:dyDescent="0.25">
      <c r="AE430665" s="34"/>
      <c r="AF430665" s="34"/>
    </row>
    <row r="430673" spans="31:32" x14ac:dyDescent="0.25">
      <c r="AE430673" s="36"/>
      <c r="AF430673" s="36"/>
    </row>
    <row r="430769" spans="31:32" x14ac:dyDescent="0.25">
      <c r="AE430769" s="34"/>
      <c r="AF430769" s="34"/>
    </row>
    <row r="430777" spans="31:32" x14ac:dyDescent="0.25">
      <c r="AE430777" s="36"/>
      <c r="AF430777" s="36"/>
    </row>
    <row r="430873" spans="31:32" x14ac:dyDescent="0.25">
      <c r="AE430873" s="34"/>
      <c r="AF430873" s="34"/>
    </row>
    <row r="430881" spans="31:32" x14ac:dyDescent="0.25">
      <c r="AE430881" s="36"/>
      <c r="AF430881" s="36"/>
    </row>
    <row r="430977" spans="31:32" x14ac:dyDescent="0.25">
      <c r="AE430977" s="34"/>
      <c r="AF430977" s="34"/>
    </row>
    <row r="430985" spans="31:32" x14ac:dyDescent="0.25">
      <c r="AE430985" s="36"/>
      <c r="AF430985" s="36"/>
    </row>
    <row r="431081" spans="31:32" x14ac:dyDescent="0.25">
      <c r="AE431081" s="34"/>
      <c r="AF431081" s="34"/>
    </row>
    <row r="431089" spans="31:32" x14ac:dyDescent="0.25">
      <c r="AE431089" s="36"/>
      <c r="AF431089" s="36"/>
    </row>
    <row r="431185" spans="31:32" x14ac:dyDescent="0.25">
      <c r="AE431185" s="34"/>
      <c r="AF431185" s="34"/>
    </row>
    <row r="431193" spans="31:32" x14ac:dyDescent="0.25">
      <c r="AE431193" s="36"/>
      <c r="AF431193" s="36"/>
    </row>
    <row r="431289" spans="31:32" x14ac:dyDescent="0.25">
      <c r="AE431289" s="34"/>
      <c r="AF431289" s="34"/>
    </row>
    <row r="431297" spans="31:32" x14ac:dyDescent="0.25">
      <c r="AE431297" s="36"/>
      <c r="AF431297" s="36"/>
    </row>
    <row r="431393" spans="31:32" x14ac:dyDescent="0.25">
      <c r="AE431393" s="34"/>
      <c r="AF431393" s="34"/>
    </row>
    <row r="431401" spans="31:32" x14ac:dyDescent="0.25">
      <c r="AE431401" s="36"/>
      <c r="AF431401" s="36"/>
    </row>
    <row r="431497" spans="31:32" x14ac:dyDescent="0.25">
      <c r="AE431497" s="34"/>
      <c r="AF431497" s="34"/>
    </row>
    <row r="431505" spans="31:32" x14ac:dyDescent="0.25">
      <c r="AE431505" s="36"/>
      <c r="AF431505" s="36"/>
    </row>
    <row r="431601" spans="31:32" x14ac:dyDescent="0.25">
      <c r="AE431601" s="34"/>
      <c r="AF431601" s="34"/>
    </row>
    <row r="431609" spans="31:32" x14ac:dyDescent="0.25">
      <c r="AE431609" s="36"/>
      <c r="AF431609" s="36"/>
    </row>
    <row r="431705" spans="31:32" x14ac:dyDescent="0.25">
      <c r="AE431705" s="34"/>
      <c r="AF431705" s="34"/>
    </row>
    <row r="431713" spans="31:32" x14ac:dyDescent="0.25">
      <c r="AE431713" s="36"/>
      <c r="AF431713" s="36"/>
    </row>
    <row r="431809" spans="31:32" x14ac:dyDescent="0.25">
      <c r="AE431809" s="34"/>
      <c r="AF431809" s="34"/>
    </row>
    <row r="431817" spans="31:32" x14ac:dyDescent="0.25">
      <c r="AE431817" s="36"/>
      <c r="AF431817" s="36"/>
    </row>
    <row r="431913" spans="31:32" x14ac:dyDescent="0.25">
      <c r="AE431913" s="34"/>
      <c r="AF431913" s="34"/>
    </row>
    <row r="431921" spans="31:32" x14ac:dyDescent="0.25">
      <c r="AE431921" s="36"/>
      <c r="AF431921" s="36"/>
    </row>
    <row r="432017" spans="31:32" x14ac:dyDescent="0.25">
      <c r="AE432017" s="34"/>
      <c r="AF432017" s="34"/>
    </row>
    <row r="432025" spans="31:32" x14ac:dyDescent="0.25">
      <c r="AE432025" s="36"/>
      <c r="AF432025" s="36"/>
    </row>
    <row r="432121" spans="31:32" x14ac:dyDescent="0.25">
      <c r="AE432121" s="34"/>
      <c r="AF432121" s="34"/>
    </row>
    <row r="432129" spans="31:32" x14ac:dyDescent="0.25">
      <c r="AE432129" s="36"/>
      <c r="AF432129" s="36"/>
    </row>
    <row r="432225" spans="31:32" x14ac:dyDescent="0.25">
      <c r="AE432225" s="34"/>
      <c r="AF432225" s="34"/>
    </row>
    <row r="432233" spans="31:32" x14ac:dyDescent="0.25">
      <c r="AE432233" s="36"/>
      <c r="AF432233" s="36"/>
    </row>
    <row r="432329" spans="31:32" x14ac:dyDescent="0.25">
      <c r="AE432329" s="34"/>
      <c r="AF432329" s="34"/>
    </row>
    <row r="432337" spans="31:32" x14ac:dyDescent="0.25">
      <c r="AE432337" s="36"/>
      <c r="AF432337" s="36"/>
    </row>
    <row r="432433" spans="31:32" x14ac:dyDescent="0.25">
      <c r="AE432433" s="34"/>
      <c r="AF432433" s="34"/>
    </row>
    <row r="432441" spans="31:32" x14ac:dyDescent="0.25">
      <c r="AE432441" s="36"/>
      <c r="AF432441" s="36"/>
    </row>
    <row r="432537" spans="31:32" x14ac:dyDescent="0.25">
      <c r="AE432537" s="34"/>
      <c r="AF432537" s="34"/>
    </row>
    <row r="432545" spans="31:32" x14ac:dyDescent="0.25">
      <c r="AE432545" s="36"/>
      <c r="AF432545" s="36"/>
    </row>
    <row r="432641" spans="31:32" x14ac:dyDescent="0.25">
      <c r="AE432641" s="34"/>
      <c r="AF432641" s="34"/>
    </row>
    <row r="432649" spans="31:32" x14ac:dyDescent="0.25">
      <c r="AE432649" s="36"/>
      <c r="AF432649" s="36"/>
    </row>
    <row r="432745" spans="31:32" x14ac:dyDescent="0.25">
      <c r="AE432745" s="34"/>
      <c r="AF432745" s="34"/>
    </row>
    <row r="432753" spans="31:32" x14ac:dyDescent="0.25">
      <c r="AE432753" s="36"/>
      <c r="AF432753" s="36"/>
    </row>
    <row r="432849" spans="31:32" x14ac:dyDescent="0.25">
      <c r="AE432849" s="34"/>
      <c r="AF432849" s="34"/>
    </row>
    <row r="432857" spans="31:32" x14ac:dyDescent="0.25">
      <c r="AE432857" s="36"/>
      <c r="AF432857" s="36"/>
    </row>
    <row r="432953" spans="31:32" x14ac:dyDescent="0.25">
      <c r="AE432953" s="34"/>
      <c r="AF432953" s="34"/>
    </row>
    <row r="432961" spans="31:32" x14ac:dyDescent="0.25">
      <c r="AE432961" s="36"/>
      <c r="AF432961" s="36"/>
    </row>
    <row r="433057" spans="31:32" x14ac:dyDescent="0.25">
      <c r="AE433057" s="34"/>
      <c r="AF433057" s="34"/>
    </row>
    <row r="433065" spans="31:32" x14ac:dyDescent="0.25">
      <c r="AE433065" s="36"/>
      <c r="AF433065" s="36"/>
    </row>
    <row r="433161" spans="31:32" x14ac:dyDescent="0.25">
      <c r="AE433161" s="34"/>
      <c r="AF433161" s="34"/>
    </row>
    <row r="433169" spans="31:32" x14ac:dyDescent="0.25">
      <c r="AE433169" s="36"/>
      <c r="AF433169" s="36"/>
    </row>
    <row r="433265" spans="31:32" x14ac:dyDescent="0.25">
      <c r="AE433265" s="34"/>
      <c r="AF433265" s="34"/>
    </row>
    <row r="433273" spans="31:32" x14ac:dyDescent="0.25">
      <c r="AE433273" s="36"/>
      <c r="AF433273" s="36"/>
    </row>
    <row r="433369" spans="31:32" x14ac:dyDescent="0.25">
      <c r="AE433369" s="34"/>
      <c r="AF433369" s="34"/>
    </row>
    <row r="433377" spans="31:32" x14ac:dyDescent="0.25">
      <c r="AE433377" s="36"/>
      <c r="AF433377" s="36"/>
    </row>
    <row r="433473" spans="31:32" x14ac:dyDescent="0.25">
      <c r="AE433473" s="34"/>
      <c r="AF433473" s="34"/>
    </row>
    <row r="433481" spans="31:32" x14ac:dyDescent="0.25">
      <c r="AE433481" s="36"/>
      <c r="AF433481" s="36"/>
    </row>
    <row r="433577" spans="31:32" x14ac:dyDescent="0.25">
      <c r="AE433577" s="34"/>
      <c r="AF433577" s="34"/>
    </row>
    <row r="433585" spans="31:32" x14ac:dyDescent="0.25">
      <c r="AE433585" s="36"/>
      <c r="AF433585" s="36"/>
    </row>
    <row r="433681" spans="31:32" x14ac:dyDescent="0.25">
      <c r="AE433681" s="34"/>
      <c r="AF433681" s="34"/>
    </row>
    <row r="433689" spans="31:32" x14ac:dyDescent="0.25">
      <c r="AE433689" s="36"/>
      <c r="AF433689" s="36"/>
    </row>
    <row r="433785" spans="31:32" x14ac:dyDescent="0.25">
      <c r="AE433785" s="34"/>
      <c r="AF433785" s="34"/>
    </row>
    <row r="433793" spans="31:32" x14ac:dyDescent="0.25">
      <c r="AE433793" s="36"/>
      <c r="AF433793" s="36"/>
    </row>
    <row r="433889" spans="31:32" x14ac:dyDescent="0.25">
      <c r="AE433889" s="34"/>
      <c r="AF433889" s="34"/>
    </row>
    <row r="433897" spans="31:32" x14ac:dyDescent="0.25">
      <c r="AE433897" s="36"/>
      <c r="AF433897" s="36"/>
    </row>
    <row r="433993" spans="31:32" x14ac:dyDescent="0.25">
      <c r="AE433993" s="34"/>
      <c r="AF433993" s="34"/>
    </row>
    <row r="434001" spans="31:32" x14ac:dyDescent="0.25">
      <c r="AE434001" s="36"/>
      <c r="AF434001" s="36"/>
    </row>
    <row r="434097" spans="31:32" x14ac:dyDescent="0.25">
      <c r="AE434097" s="34"/>
      <c r="AF434097" s="34"/>
    </row>
    <row r="434105" spans="31:32" x14ac:dyDescent="0.25">
      <c r="AE434105" s="36"/>
      <c r="AF434105" s="36"/>
    </row>
    <row r="434201" spans="31:32" x14ac:dyDescent="0.25">
      <c r="AE434201" s="34"/>
      <c r="AF434201" s="34"/>
    </row>
    <row r="434209" spans="31:32" x14ac:dyDescent="0.25">
      <c r="AE434209" s="36"/>
      <c r="AF434209" s="36"/>
    </row>
    <row r="434305" spans="31:32" x14ac:dyDescent="0.25">
      <c r="AE434305" s="34"/>
      <c r="AF434305" s="34"/>
    </row>
    <row r="434313" spans="31:32" x14ac:dyDescent="0.25">
      <c r="AE434313" s="36"/>
      <c r="AF434313" s="36"/>
    </row>
    <row r="434409" spans="31:32" x14ac:dyDescent="0.25">
      <c r="AE434409" s="34"/>
      <c r="AF434409" s="34"/>
    </row>
    <row r="434417" spans="31:32" x14ac:dyDescent="0.25">
      <c r="AE434417" s="36"/>
      <c r="AF434417" s="36"/>
    </row>
    <row r="434513" spans="31:32" x14ac:dyDescent="0.25">
      <c r="AE434513" s="34"/>
      <c r="AF434513" s="34"/>
    </row>
    <row r="434521" spans="31:32" x14ac:dyDescent="0.25">
      <c r="AE434521" s="36"/>
      <c r="AF434521" s="36"/>
    </row>
    <row r="434617" spans="31:32" x14ac:dyDescent="0.25">
      <c r="AE434617" s="34"/>
      <c r="AF434617" s="34"/>
    </row>
    <row r="434625" spans="31:32" x14ac:dyDescent="0.25">
      <c r="AE434625" s="36"/>
      <c r="AF434625" s="36"/>
    </row>
    <row r="434721" spans="31:32" x14ac:dyDescent="0.25">
      <c r="AE434721" s="34"/>
      <c r="AF434721" s="34"/>
    </row>
    <row r="434729" spans="31:32" x14ac:dyDescent="0.25">
      <c r="AE434729" s="36"/>
      <c r="AF434729" s="36"/>
    </row>
    <row r="434825" spans="31:32" x14ac:dyDescent="0.25">
      <c r="AE434825" s="34"/>
      <c r="AF434825" s="34"/>
    </row>
    <row r="434833" spans="31:32" x14ac:dyDescent="0.25">
      <c r="AE434833" s="36"/>
      <c r="AF434833" s="36"/>
    </row>
    <row r="434929" spans="31:32" x14ac:dyDescent="0.25">
      <c r="AE434929" s="34"/>
      <c r="AF434929" s="34"/>
    </row>
    <row r="434937" spans="31:32" x14ac:dyDescent="0.25">
      <c r="AE434937" s="36"/>
      <c r="AF434937" s="36"/>
    </row>
    <row r="435033" spans="31:32" x14ac:dyDescent="0.25">
      <c r="AE435033" s="34"/>
      <c r="AF435033" s="34"/>
    </row>
    <row r="435041" spans="31:32" x14ac:dyDescent="0.25">
      <c r="AE435041" s="36"/>
      <c r="AF435041" s="36"/>
    </row>
    <row r="435137" spans="31:32" x14ac:dyDescent="0.25">
      <c r="AE435137" s="34"/>
      <c r="AF435137" s="34"/>
    </row>
    <row r="435145" spans="31:32" x14ac:dyDescent="0.25">
      <c r="AE435145" s="36"/>
      <c r="AF435145" s="36"/>
    </row>
    <row r="435241" spans="31:32" x14ac:dyDescent="0.25">
      <c r="AE435241" s="34"/>
      <c r="AF435241" s="34"/>
    </row>
    <row r="435249" spans="31:32" x14ac:dyDescent="0.25">
      <c r="AE435249" s="36"/>
      <c r="AF435249" s="36"/>
    </row>
    <row r="435345" spans="31:32" x14ac:dyDescent="0.25">
      <c r="AE435345" s="34"/>
      <c r="AF435345" s="34"/>
    </row>
    <row r="435353" spans="31:32" x14ac:dyDescent="0.25">
      <c r="AE435353" s="36"/>
      <c r="AF435353" s="36"/>
    </row>
    <row r="435449" spans="31:32" x14ac:dyDescent="0.25">
      <c r="AE435449" s="34"/>
      <c r="AF435449" s="34"/>
    </row>
    <row r="435457" spans="31:32" x14ac:dyDescent="0.25">
      <c r="AE435457" s="36"/>
      <c r="AF435457" s="36"/>
    </row>
    <row r="435553" spans="31:32" x14ac:dyDescent="0.25">
      <c r="AE435553" s="34"/>
      <c r="AF435553" s="34"/>
    </row>
    <row r="435561" spans="31:32" x14ac:dyDescent="0.25">
      <c r="AE435561" s="36"/>
      <c r="AF435561" s="36"/>
    </row>
    <row r="435657" spans="31:32" x14ac:dyDescent="0.25">
      <c r="AE435657" s="34"/>
      <c r="AF435657" s="34"/>
    </row>
    <row r="435665" spans="31:32" x14ac:dyDescent="0.25">
      <c r="AE435665" s="36"/>
      <c r="AF435665" s="36"/>
    </row>
    <row r="435761" spans="31:32" x14ac:dyDescent="0.25">
      <c r="AE435761" s="34"/>
      <c r="AF435761" s="34"/>
    </row>
    <row r="435769" spans="31:32" x14ac:dyDescent="0.25">
      <c r="AE435769" s="36"/>
      <c r="AF435769" s="36"/>
    </row>
    <row r="435865" spans="31:32" x14ac:dyDescent="0.25">
      <c r="AE435865" s="34"/>
      <c r="AF435865" s="34"/>
    </row>
    <row r="435873" spans="31:32" x14ac:dyDescent="0.25">
      <c r="AE435873" s="36"/>
      <c r="AF435873" s="36"/>
    </row>
    <row r="435969" spans="31:32" x14ac:dyDescent="0.25">
      <c r="AE435969" s="34"/>
      <c r="AF435969" s="34"/>
    </row>
    <row r="435977" spans="31:32" x14ac:dyDescent="0.25">
      <c r="AE435977" s="36"/>
      <c r="AF435977" s="36"/>
    </row>
    <row r="436073" spans="31:32" x14ac:dyDescent="0.25">
      <c r="AE436073" s="34"/>
      <c r="AF436073" s="34"/>
    </row>
    <row r="436081" spans="31:32" x14ac:dyDescent="0.25">
      <c r="AE436081" s="36"/>
      <c r="AF436081" s="36"/>
    </row>
    <row r="436177" spans="31:32" x14ac:dyDescent="0.25">
      <c r="AE436177" s="34"/>
      <c r="AF436177" s="34"/>
    </row>
    <row r="436185" spans="31:32" x14ac:dyDescent="0.25">
      <c r="AE436185" s="36"/>
      <c r="AF436185" s="36"/>
    </row>
    <row r="436281" spans="31:32" x14ac:dyDescent="0.25">
      <c r="AE436281" s="34"/>
      <c r="AF436281" s="34"/>
    </row>
    <row r="436289" spans="31:32" x14ac:dyDescent="0.25">
      <c r="AE436289" s="36"/>
      <c r="AF436289" s="36"/>
    </row>
    <row r="436385" spans="31:32" x14ac:dyDescent="0.25">
      <c r="AE436385" s="34"/>
      <c r="AF436385" s="34"/>
    </row>
    <row r="436393" spans="31:32" x14ac:dyDescent="0.25">
      <c r="AE436393" s="36"/>
      <c r="AF436393" s="36"/>
    </row>
    <row r="436489" spans="31:32" x14ac:dyDescent="0.25">
      <c r="AE436489" s="34"/>
      <c r="AF436489" s="34"/>
    </row>
    <row r="436497" spans="31:32" x14ac:dyDescent="0.25">
      <c r="AE436497" s="36"/>
      <c r="AF436497" s="36"/>
    </row>
    <row r="436593" spans="31:32" x14ac:dyDescent="0.25">
      <c r="AE436593" s="34"/>
      <c r="AF436593" s="34"/>
    </row>
    <row r="436601" spans="31:32" x14ac:dyDescent="0.25">
      <c r="AE436601" s="36"/>
      <c r="AF436601" s="36"/>
    </row>
    <row r="436697" spans="31:32" x14ac:dyDescent="0.25">
      <c r="AE436697" s="34"/>
      <c r="AF436697" s="34"/>
    </row>
    <row r="436705" spans="31:32" x14ac:dyDescent="0.25">
      <c r="AE436705" s="36"/>
      <c r="AF436705" s="36"/>
    </row>
    <row r="436801" spans="31:32" x14ac:dyDescent="0.25">
      <c r="AE436801" s="34"/>
      <c r="AF436801" s="34"/>
    </row>
    <row r="436809" spans="31:32" x14ac:dyDescent="0.25">
      <c r="AE436809" s="36"/>
      <c r="AF436809" s="36"/>
    </row>
    <row r="436905" spans="31:32" x14ac:dyDescent="0.25">
      <c r="AE436905" s="34"/>
      <c r="AF436905" s="34"/>
    </row>
    <row r="436913" spans="31:32" x14ac:dyDescent="0.25">
      <c r="AE436913" s="36"/>
      <c r="AF436913" s="36"/>
    </row>
    <row r="437009" spans="31:32" x14ac:dyDescent="0.25">
      <c r="AE437009" s="34"/>
      <c r="AF437009" s="34"/>
    </row>
    <row r="437017" spans="31:32" x14ac:dyDescent="0.25">
      <c r="AE437017" s="36"/>
      <c r="AF437017" s="36"/>
    </row>
    <row r="437113" spans="31:32" x14ac:dyDescent="0.25">
      <c r="AE437113" s="34"/>
      <c r="AF437113" s="34"/>
    </row>
    <row r="437121" spans="31:32" x14ac:dyDescent="0.25">
      <c r="AE437121" s="36"/>
      <c r="AF437121" s="36"/>
    </row>
    <row r="437217" spans="31:32" x14ac:dyDescent="0.25">
      <c r="AE437217" s="34"/>
      <c r="AF437217" s="34"/>
    </row>
    <row r="437225" spans="31:32" x14ac:dyDescent="0.25">
      <c r="AE437225" s="36"/>
      <c r="AF437225" s="36"/>
    </row>
    <row r="437321" spans="31:32" x14ac:dyDescent="0.25">
      <c r="AE437321" s="34"/>
      <c r="AF437321" s="34"/>
    </row>
    <row r="437329" spans="31:32" x14ac:dyDescent="0.25">
      <c r="AE437329" s="36"/>
      <c r="AF437329" s="36"/>
    </row>
    <row r="437425" spans="31:32" x14ac:dyDescent="0.25">
      <c r="AE437425" s="34"/>
      <c r="AF437425" s="34"/>
    </row>
    <row r="437433" spans="31:32" x14ac:dyDescent="0.25">
      <c r="AE437433" s="36"/>
      <c r="AF437433" s="36"/>
    </row>
    <row r="437529" spans="31:32" x14ac:dyDescent="0.25">
      <c r="AE437529" s="34"/>
      <c r="AF437529" s="34"/>
    </row>
    <row r="437537" spans="31:32" x14ac:dyDescent="0.25">
      <c r="AE437537" s="36"/>
      <c r="AF437537" s="36"/>
    </row>
    <row r="437633" spans="31:32" x14ac:dyDescent="0.25">
      <c r="AE437633" s="34"/>
      <c r="AF437633" s="34"/>
    </row>
    <row r="437641" spans="31:32" x14ac:dyDescent="0.25">
      <c r="AE437641" s="36"/>
      <c r="AF437641" s="36"/>
    </row>
    <row r="437737" spans="31:32" x14ac:dyDescent="0.25">
      <c r="AE437737" s="34"/>
      <c r="AF437737" s="34"/>
    </row>
    <row r="437745" spans="31:32" x14ac:dyDescent="0.25">
      <c r="AE437745" s="36"/>
      <c r="AF437745" s="36"/>
    </row>
    <row r="437841" spans="31:32" x14ac:dyDescent="0.25">
      <c r="AE437841" s="34"/>
      <c r="AF437841" s="34"/>
    </row>
    <row r="437849" spans="31:32" x14ac:dyDescent="0.25">
      <c r="AE437849" s="36"/>
      <c r="AF437849" s="36"/>
    </row>
    <row r="437945" spans="31:32" x14ac:dyDescent="0.25">
      <c r="AE437945" s="34"/>
      <c r="AF437945" s="34"/>
    </row>
    <row r="437953" spans="31:32" x14ac:dyDescent="0.25">
      <c r="AE437953" s="36"/>
      <c r="AF437953" s="36"/>
    </row>
    <row r="438049" spans="31:32" x14ac:dyDescent="0.25">
      <c r="AE438049" s="34"/>
      <c r="AF438049" s="34"/>
    </row>
    <row r="438057" spans="31:32" x14ac:dyDescent="0.25">
      <c r="AE438057" s="36"/>
      <c r="AF438057" s="36"/>
    </row>
    <row r="438153" spans="31:32" x14ac:dyDescent="0.25">
      <c r="AE438153" s="34"/>
      <c r="AF438153" s="34"/>
    </row>
    <row r="438161" spans="31:32" x14ac:dyDescent="0.25">
      <c r="AE438161" s="36"/>
      <c r="AF438161" s="36"/>
    </row>
    <row r="438257" spans="31:32" x14ac:dyDescent="0.25">
      <c r="AE438257" s="34"/>
      <c r="AF438257" s="34"/>
    </row>
    <row r="438265" spans="31:32" x14ac:dyDescent="0.25">
      <c r="AE438265" s="36"/>
      <c r="AF438265" s="36"/>
    </row>
    <row r="438361" spans="31:32" x14ac:dyDescent="0.25">
      <c r="AE438361" s="34"/>
      <c r="AF438361" s="34"/>
    </row>
    <row r="438369" spans="31:32" x14ac:dyDescent="0.25">
      <c r="AE438369" s="36"/>
      <c r="AF438369" s="36"/>
    </row>
    <row r="438465" spans="31:32" x14ac:dyDescent="0.25">
      <c r="AE438465" s="34"/>
      <c r="AF438465" s="34"/>
    </row>
    <row r="438473" spans="31:32" x14ac:dyDescent="0.25">
      <c r="AE438473" s="36"/>
      <c r="AF438473" s="36"/>
    </row>
    <row r="438569" spans="31:32" x14ac:dyDescent="0.25">
      <c r="AE438569" s="34"/>
      <c r="AF438569" s="34"/>
    </row>
    <row r="438577" spans="31:32" x14ac:dyDescent="0.25">
      <c r="AE438577" s="36"/>
      <c r="AF438577" s="36"/>
    </row>
    <row r="438673" spans="31:32" x14ac:dyDescent="0.25">
      <c r="AE438673" s="34"/>
      <c r="AF438673" s="34"/>
    </row>
    <row r="438681" spans="31:32" x14ac:dyDescent="0.25">
      <c r="AE438681" s="36"/>
      <c r="AF438681" s="36"/>
    </row>
    <row r="438777" spans="31:32" x14ac:dyDescent="0.25">
      <c r="AE438777" s="34"/>
      <c r="AF438777" s="34"/>
    </row>
    <row r="438785" spans="31:32" x14ac:dyDescent="0.25">
      <c r="AE438785" s="36"/>
      <c r="AF438785" s="36"/>
    </row>
    <row r="438881" spans="31:32" x14ac:dyDescent="0.25">
      <c r="AE438881" s="34"/>
      <c r="AF438881" s="34"/>
    </row>
    <row r="438889" spans="31:32" x14ac:dyDescent="0.25">
      <c r="AE438889" s="36"/>
      <c r="AF438889" s="36"/>
    </row>
    <row r="438985" spans="31:32" x14ac:dyDescent="0.25">
      <c r="AE438985" s="34"/>
      <c r="AF438985" s="34"/>
    </row>
    <row r="438993" spans="31:32" x14ac:dyDescent="0.25">
      <c r="AE438993" s="36"/>
      <c r="AF438993" s="36"/>
    </row>
    <row r="439089" spans="31:32" x14ac:dyDescent="0.25">
      <c r="AE439089" s="34"/>
      <c r="AF439089" s="34"/>
    </row>
    <row r="439097" spans="31:32" x14ac:dyDescent="0.25">
      <c r="AE439097" s="36"/>
      <c r="AF439097" s="36"/>
    </row>
    <row r="439193" spans="31:32" x14ac:dyDescent="0.25">
      <c r="AE439193" s="34"/>
      <c r="AF439193" s="34"/>
    </row>
    <row r="439201" spans="31:32" x14ac:dyDescent="0.25">
      <c r="AE439201" s="36"/>
      <c r="AF439201" s="36"/>
    </row>
    <row r="439297" spans="31:32" x14ac:dyDescent="0.25">
      <c r="AE439297" s="34"/>
      <c r="AF439297" s="34"/>
    </row>
    <row r="439305" spans="31:32" x14ac:dyDescent="0.25">
      <c r="AE439305" s="36"/>
      <c r="AF439305" s="36"/>
    </row>
    <row r="439401" spans="31:32" x14ac:dyDescent="0.25">
      <c r="AE439401" s="34"/>
      <c r="AF439401" s="34"/>
    </row>
    <row r="439409" spans="31:32" x14ac:dyDescent="0.25">
      <c r="AE439409" s="36"/>
      <c r="AF439409" s="36"/>
    </row>
    <row r="439505" spans="31:32" x14ac:dyDescent="0.25">
      <c r="AE439505" s="34"/>
      <c r="AF439505" s="34"/>
    </row>
    <row r="439513" spans="31:32" x14ac:dyDescent="0.25">
      <c r="AE439513" s="36"/>
      <c r="AF439513" s="36"/>
    </row>
    <row r="439609" spans="31:32" x14ac:dyDescent="0.25">
      <c r="AE439609" s="34"/>
      <c r="AF439609" s="34"/>
    </row>
    <row r="439617" spans="31:32" x14ac:dyDescent="0.25">
      <c r="AE439617" s="36"/>
      <c r="AF439617" s="36"/>
    </row>
    <row r="439713" spans="31:32" x14ac:dyDescent="0.25">
      <c r="AE439713" s="34"/>
      <c r="AF439713" s="34"/>
    </row>
    <row r="439721" spans="31:32" x14ac:dyDescent="0.25">
      <c r="AE439721" s="36"/>
      <c r="AF439721" s="36"/>
    </row>
    <row r="439817" spans="31:32" x14ac:dyDescent="0.25">
      <c r="AE439817" s="34"/>
      <c r="AF439817" s="34"/>
    </row>
    <row r="439825" spans="31:32" x14ac:dyDescent="0.25">
      <c r="AE439825" s="36"/>
      <c r="AF439825" s="36"/>
    </row>
    <row r="439921" spans="31:32" x14ac:dyDescent="0.25">
      <c r="AE439921" s="34"/>
      <c r="AF439921" s="34"/>
    </row>
    <row r="439929" spans="31:32" x14ac:dyDescent="0.25">
      <c r="AE439929" s="36"/>
      <c r="AF439929" s="36"/>
    </row>
    <row r="440025" spans="31:32" x14ac:dyDescent="0.25">
      <c r="AE440025" s="34"/>
      <c r="AF440025" s="34"/>
    </row>
    <row r="440033" spans="31:32" x14ac:dyDescent="0.25">
      <c r="AE440033" s="36"/>
      <c r="AF440033" s="36"/>
    </row>
    <row r="440129" spans="31:32" x14ac:dyDescent="0.25">
      <c r="AE440129" s="34"/>
      <c r="AF440129" s="34"/>
    </row>
    <row r="440137" spans="31:32" x14ac:dyDescent="0.25">
      <c r="AE440137" s="36"/>
      <c r="AF440137" s="36"/>
    </row>
    <row r="440233" spans="31:32" x14ac:dyDescent="0.25">
      <c r="AE440233" s="34"/>
      <c r="AF440233" s="34"/>
    </row>
    <row r="440241" spans="31:32" x14ac:dyDescent="0.25">
      <c r="AE440241" s="36"/>
      <c r="AF440241" s="36"/>
    </row>
    <row r="440337" spans="31:32" x14ac:dyDescent="0.25">
      <c r="AE440337" s="34"/>
      <c r="AF440337" s="34"/>
    </row>
    <row r="440345" spans="31:32" x14ac:dyDescent="0.25">
      <c r="AE440345" s="36"/>
      <c r="AF440345" s="36"/>
    </row>
    <row r="440441" spans="31:32" x14ac:dyDescent="0.25">
      <c r="AE440441" s="34"/>
      <c r="AF440441" s="34"/>
    </row>
    <row r="440449" spans="31:32" x14ac:dyDescent="0.25">
      <c r="AE440449" s="36"/>
      <c r="AF440449" s="36"/>
    </row>
    <row r="440545" spans="31:32" x14ac:dyDescent="0.25">
      <c r="AE440545" s="34"/>
      <c r="AF440545" s="34"/>
    </row>
    <row r="440553" spans="31:32" x14ac:dyDescent="0.25">
      <c r="AE440553" s="36"/>
      <c r="AF440553" s="36"/>
    </row>
    <row r="440649" spans="31:32" x14ac:dyDescent="0.25">
      <c r="AE440649" s="34"/>
      <c r="AF440649" s="34"/>
    </row>
    <row r="440657" spans="31:32" x14ac:dyDescent="0.25">
      <c r="AE440657" s="36"/>
      <c r="AF440657" s="36"/>
    </row>
    <row r="440753" spans="31:32" x14ac:dyDescent="0.25">
      <c r="AE440753" s="34"/>
      <c r="AF440753" s="34"/>
    </row>
    <row r="440761" spans="31:32" x14ac:dyDescent="0.25">
      <c r="AE440761" s="36"/>
      <c r="AF440761" s="36"/>
    </row>
    <row r="440857" spans="31:32" x14ac:dyDescent="0.25">
      <c r="AE440857" s="34"/>
      <c r="AF440857" s="34"/>
    </row>
    <row r="440865" spans="31:32" x14ac:dyDescent="0.25">
      <c r="AE440865" s="36"/>
      <c r="AF440865" s="36"/>
    </row>
    <row r="440961" spans="31:32" x14ac:dyDescent="0.25">
      <c r="AE440961" s="34"/>
      <c r="AF440961" s="34"/>
    </row>
    <row r="440969" spans="31:32" x14ac:dyDescent="0.25">
      <c r="AE440969" s="36"/>
      <c r="AF440969" s="36"/>
    </row>
    <row r="441065" spans="31:32" x14ac:dyDescent="0.25">
      <c r="AE441065" s="34"/>
      <c r="AF441065" s="34"/>
    </row>
    <row r="441073" spans="31:32" x14ac:dyDescent="0.25">
      <c r="AE441073" s="36"/>
      <c r="AF441073" s="36"/>
    </row>
    <row r="441169" spans="31:32" x14ac:dyDescent="0.25">
      <c r="AE441169" s="34"/>
      <c r="AF441169" s="34"/>
    </row>
    <row r="441177" spans="31:32" x14ac:dyDescent="0.25">
      <c r="AE441177" s="36"/>
      <c r="AF441177" s="36"/>
    </row>
    <row r="441273" spans="31:32" x14ac:dyDescent="0.25">
      <c r="AE441273" s="34"/>
      <c r="AF441273" s="34"/>
    </row>
    <row r="441281" spans="31:32" x14ac:dyDescent="0.25">
      <c r="AE441281" s="36"/>
      <c r="AF441281" s="36"/>
    </row>
    <row r="441377" spans="31:32" x14ac:dyDescent="0.25">
      <c r="AE441377" s="34"/>
      <c r="AF441377" s="34"/>
    </row>
    <row r="441385" spans="31:32" x14ac:dyDescent="0.25">
      <c r="AE441385" s="36"/>
      <c r="AF441385" s="36"/>
    </row>
    <row r="441481" spans="31:32" x14ac:dyDescent="0.25">
      <c r="AE441481" s="34"/>
      <c r="AF441481" s="34"/>
    </row>
    <row r="441489" spans="31:32" x14ac:dyDescent="0.25">
      <c r="AE441489" s="36"/>
      <c r="AF441489" s="36"/>
    </row>
    <row r="441585" spans="31:32" x14ac:dyDescent="0.25">
      <c r="AE441585" s="34"/>
      <c r="AF441585" s="34"/>
    </row>
    <row r="441593" spans="31:32" x14ac:dyDescent="0.25">
      <c r="AE441593" s="36"/>
      <c r="AF441593" s="36"/>
    </row>
    <row r="441689" spans="31:32" x14ac:dyDescent="0.25">
      <c r="AE441689" s="34"/>
      <c r="AF441689" s="34"/>
    </row>
    <row r="441697" spans="31:32" x14ac:dyDescent="0.25">
      <c r="AE441697" s="36"/>
      <c r="AF441697" s="36"/>
    </row>
    <row r="441793" spans="31:32" x14ac:dyDescent="0.25">
      <c r="AE441793" s="34"/>
      <c r="AF441793" s="34"/>
    </row>
    <row r="441801" spans="31:32" x14ac:dyDescent="0.25">
      <c r="AE441801" s="36"/>
      <c r="AF441801" s="36"/>
    </row>
    <row r="441897" spans="31:32" x14ac:dyDescent="0.25">
      <c r="AE441897" s="34"/>
      <c r="AF441897" s="34"/>
    </row>
    <row r="441905" spans="31:32" x14ac:dyDescent="0.25">
      <c r="AE441905" s="36"/>
      <c r="AF441905" s="36"/>
    </row>
    <row r="442001" spans="31:32" x14ac:dyDescent="0.25">
      <c r="AE442001" s="34"/>
      <c r="AF442001" s="34"/>
    </row>
    <row r="442009" spans="31:32" x14ac:dyDescent="0.25">
      <c r="AE442009" s="36"/>
      <c r="AF442009" s="36"/>
    </row>
    <row r="442105" spans="31:32" x14ac:dyDescent="0.25">
      <c r="AE442105" s="34"/>
      <c r="AF442105" s="34"/>
    </row>
    <row r="442113" spans="31:32" x14ac:dyDescent="0.25">
      <c r="AE442113" s="36"/>
      <c r="AF442113" s="36"/>
    </row>
    <row r="442209" spans="31:32" x14ac:dyDescent="0.25">
      <c r="AE442209" s="34"/>
      <c r="AF442209" s="34"/>
    </row>
    <row r="442217" spans="31:32" x14ac:dyDescent="0.25">
      <c r="AE442217" s="36"/>
      <c r="AF442217" s="36"/>
    </row>
    <row r="442313" spans="31:32" x14ac:dyDescent="0.25">
      <c r="AE442313" s="34"/>
      <c r="AF442313" s="34"/>
    </row>
    <row r="442321" spans="31:32" x14ac:dyDescent="0.25">
      <c r="AE442321" s="36"/>
      <c r="AF442321" s="36"/>
    </row>
    <row r="442417" spans="31:32" x14ac:dyDescent="0.25">
      <c r="AE442417" s="34"/>
      <c r="AF442417" s="34"/>
    </row>
    <row r="442425" spans="31:32" x14ac:dyDescent="0.25">
      <c r="AE442425" s="36"/>
      <c r="AF442425" s="36"/>
    </row>
    <row r="442521" spans="31:32" x14ac:dyDescent="0.25">
      <c r="AE442521" s="34"/>
      <c r="AF442521" s="34"/>
    </row>
    <row r="442529" spans="31:32" x14ac:dyDescent="0.25">
      <c r="AE442529" s="36"/>
      <c r="AF442529" s="36"/>
    </row>
    <row r="442625" spans="31:32" x14ac:dyDescent="0.25">
      <c r="AE442625" s="34"/>
      <c r="AF442625" s="34"/>
    </row>
    <row r="442633" spans="31:32" x14ac:dyDescent="0.25">
      <c r="AE442633" s="36"/>
      <c r="AF442633" s="36"/>
    </row>
    <row r="442729" spans="31:32" x14ac:dyDescent="0.25">
      <c r="AE442729" s="34"/>
      <c r="AF442729" s="34"/>
    </row>
    <row r="442737" spans="31:32" x14ac:dyDescent="0.25">
      <c r="AE442737" s="36"/>
      <c r="AF442737" s="36"/>
    </row>
    <row r="442833" spans="31:32" x14ac:dyDescent="0.25">
      <c r="AE442833" s="34"/>
      <c r="AF442833" s="34"/>
    </row>
    <row r="442841" spans="31:32" x14ac:dyDescent="0.25">
      <c r="AE442841" s="36"/>
      <c r="AF442841" s="36"/>
    </row>
    <row r="442937" spans="31:32" x14ac:dyDescent="0.25">
      <c r="AE442937" s="34"/>
      <c r="AF442937" s="34"/>
    </row>
    <row r="442945" spans="31:32" x14ac:dyDescent="0.25">
      <c r="AE442945" s="36"/>
      <c r="AF442945" s="36"/>
    </row>
    <row r="443041" spans="31:32" x14ac:dyDescent="0.25">
      <c r="AE443041" s="34"/>
      <c r="AF443041" s="34"/>
    </row>
    <row r="443049" spans="31:32" x14ac:dyDescent="0.25">
      <c r="AE443049" s="36"/>
      <c r="AF443049" s="36"/>
    </row>
    <row r="443145" spans="31:32" x14ac:dyDescent="0.25">
      <c r="AE443145" s="34"/>
      <c r="AF443145" s="34"/>
    </row>
    <row r="443153" spans="31:32" x14ac:dyDescent="0.25">
      <c r="AE443153" s="36"/>
      <c r="AF443153" s="36"/>
    </row>
    <row r="443249" spans="31:32" x14ac:dyDescent="0.25">
      <c r="AE443249" s="34"/>
      <c r="AF443249" s="34"/>
    </row>
    <row r="443257" spans="31:32" x14ac:dyDescent="0.25">
      <c r="AE443257" s="36"/>
      <c r="AF443257" s="36"/>
    </row>
    <row r="443353" spans="31:32" x14ac:dyDescent="0.25">
      <c r="AE443353" s="34"/>
      <c r="AF443353" s="34"/>
    </row>
    <row r="443361" spans="31:32" x14ac:dyDescent="0.25">
      <c r="AE443361" s="36"/>
      <c r="AF443361" s="36"/>
    </row>
    <row r="443457" spans="31:32" x14ac:dyDescent="0.25">
      <c r="AE443457" s="34"/>
      <c r="AF443457" s="34"/>
    </row>
    <row r="443465" spans="31:32" x14ac:dyDescent="0.25">
      <c r="AE443465" s="36"/>
      <c r="AF443465" s="36"/>
    </row>
    <row r="443561" spans="31:32" x14ac:dyDescent="0.25">
      <c r="AE443561" s="34"/>
      <c r="AF443561" s="34"/>
    </row>
    <row r="443569" spans="31:32" x14ac:dyDescent="0.25">
      <c r="AE443569" s="36"/>
      <c r="AF443569" s="36"/>
    </row>
    <row r="443665" spans="31:32" x14ac:dyDescent="0.25">
      <c r="AE443665" s="34"/>
      <c r="AF443665" s="34"/>
    </row>
    <row r="443673" spans="31:32" x14ac:dyDescent="0.25">
      <c r="AE443673" s="36"/>
      <c r="AF443673" s="36"/>
    </row>
    <row r="443769" spans="31:32" x14ac:dyDescent="0.25">
      <c r="AE443769" s="34"/>
      <c r="AF443769" s="34"/>
    </row>
    <row r="443777" spans="31:32" x14ac:dyDescent="0.25">
      <c r="AE443777" s="36"/>
      <c r="AF443777" s="36"/>
    </row>
    <row r="443873" spans="31:32" x14ac:dyDescent="0.25">
      <c r="AE443873" s="34"/>
      <c r="AF443873" s="34"/>
    </row>
    <row r="443881" spans="31:32" x14ac:dyDescent="0.25">
      <c r="AE443881" s="36"/>
      <c r="AF443881" s="36"/>
    </row>
    <row r="443977" spans="31:32" x14ac:dyDescent="0.25">
      <c r="AE443977" s="34"/>
      <c r="AF443977" s="34"/>
    </row>
    <row r="443985" spans="31:32" x14ac:dyDescent="0.25">
      <c r="AE443985" s="36"/>
      <c r="AF443985" s="36"/>
    </row>
    <row r="444081" spans="31:32" x14ac:dyDescent="0.25">
      <c r="AE444081" s="34"/>
      <c r="AF444081" s="34"/>
    </row>
    <row r="444089" spans="31:32" x14ac:dyDescent="0.25">
      <c r="AE444089" s="36"/>
      <c r="AF444089" s="36"/>
    </row>
    <row r="444185" spans="31:32" x14ac:dyDescent="0.25">
      <c r="AE444185" s="34"/>
      <c r="AF444185" s="34"/>
    </row>
    <row r="444193" spans="31:32" x14ac:dyDescent="0.25">
      <c r="AE444193" s="36"/>
      <c r="AF444193" s="36"/>
    </row>
    <row r="444289" spans="31:32" x14ac:dyDescent="0.25">
      <c r="AE444289" s="34"/>
      <c r="AF444289" s="34"/>
    </row>
    <row r="444297" spans="31:32" x14ac:dyDescent="0.25">
      <c r="AE444297" s="36"/>
      <c r="AF444297" s="36"/>
    </row>
    <row r="444393" spans="31:32" x14ac:dyDescent="0.25">
      <c r="AE444393" s="34"/>
      <c r="AF444393" s="34"/>
    </row>
    <row r="444401" spans="31:32" x14ac:dyDescent="0.25">
      <c r="AE444401" s="36"/>
      <c r="AF444401" s="36"/>
    </row>
    <row r="444497" spans="31:32" x14ac:dyDescent="0.25">
      <c r="AE444497" s="34"/>
      <c r="AF444497" s="34"/>
    </row>
    <row r="444505" spans="31:32" x14ac:dyDescent="0.25">
      <c r="AE444505" s="36"/>
      <c r="AF444505" s="36"/>
    </row>
    <row r="444601" spans="31:32" x14ac:dyDescent="0.25">
      <c r="AE444601" s="34"/>
      <c r="AF444601" s="34"/>
    </row>
    <row r="444609" spans="31:32" x14ac:dyDescent="0.25">
      <c r="AE444609" s="36"/>
      <c r="AF444609" s="36"/>
    </row>
    <row r="444705" spans="31:32" x14ac:dyDescent="0.25">
      <c r="AE444705" s="34"/>
      <c r="AF444705" s="34"/>
    </row>
    <row r="444713" spans="31:32" x14ac:dyDescent="0.25">
      <c r="AE444713" s="36"/>
      <c r="AF444713" s="36"/>
    </row>
    <row r="444809" spans="31:32" x14ac:dyDescent="0.25">
      <c r="AE444809" s="34"/>
      <c r="AF444809" s="34"/>
    </row>
    <row r="444817" spans="31:32" x14ac:dyDescent="0.25">
      <c r="AE444817" s="36"/>
      <c r="AF444817" s="36"/>
    </row>
    <row r="444913" spans="31:32" x14ac:dyDescent="0.25">
      <c r="AE444913" s="34"/>
      <c r="AF444913" s="34"/>
    </row>
    <row r="444921" spans="31:32" x14ac:dyDescent="0.25">
      <c r="AE444921" s="36"/>
      <c r="AF444921" s="36"/>
    </row>
    <row r="445017" spans="31:32" x14ac:dyDescent="0.25">
      <c r="AE445017" s="34"/>
      <c r="AF445017" s="34"/>
    </row>
    <row r="445025" spans="31:32" x14ac:dyDescent="0.25">
      <c r="AE445025" s="36"/>
      <c r="AF445025" s="36"/>
    </row>
    <row r="445121" spans="31:32" x14ac:dyDescent="0.25">
      <c r="AE445121" s="34"/>
      <c r="AF445121" s="34"/>
    </row>
    <row r="445129" spans="31:32" x14ac:dyDescent="0.25">
      <c r="AE445129" s="36"/>
      <c r="AF445129" s="36"/>
    </row>
    <row r="445225" spans="31:32" x14ac:dyDescent="0.25">
      <c r="AE445225" s="34"/>
      <c r="AF445225" s="34"/>
    </row>
    <row r="445233" spans="31:32" x14ac:dyDescent="0.25">
      <c r="AE445233" s="36"/>
      <c r="AF445233" s="36"/>
    </row>
    <row r="445329" spans="31:32" x14ac:dyDescent="0.25">
      <c r="AE445329" s="34"/>
      <c r="AF445329" s="34"/>
    </row>
    <row r="445337" spans="31:32" x14ac:dyDescent="0.25">
      <c r="AE445337" s="36"/>
      <c r="AF445337" s="36"/>
    </row>
    <row r="445433" spans="31:32" x14ac:dyDescent="0.25">
      <c r="AE445433" s="34"/>
      <c r="AF445433" s="34"/>
    </row>
    <row r="445441" spans="31:32" x14ac:dyDescent="0.25">
      <c r="AE445441" s="36"/>
      <c r="AF445441" s="36"/>
    </row>
    <row r="445537" spans="31:32" x14ac:dyDescent="0.25">
      <c r="AE445537" s="34"/>
      <c r="AF445537" s="34"/>
    </row>
    <row r="445545" spans="31:32" x14ac:dyDescent="0.25">
      <c r="AE445545" s="36"/>
      <c r="AF445545" s="36"/>
    </row>
    <row r="445641" spans="31:32" x14ac:dyDescent="0.25">
      <c r="AE445641" s="34"/>
      <c r="AF445641" s="34"/>
    </row>
    <row r="445649" spans="31:32" x14ac:dyDescent="0.25">
      <c r="AE445649" s="36"/>
      <c r="AF445649" s="36"/>
    </row>
    <row r="445745" spans="31:32" x14ac:dyDescent="0.25">
      <c r="AE445745" s="34"/>
      <c r="AF445745" s="34"/>
    </row>
    <row r="445753" spans="31:32" x14ac:dyDescent="0.25">
      <c r="AE445753" s="36"/>
      <c r="AF445753" s="36"/>
    </row>
    <row r="445849" spans="31:32" x14ac:dyDescent="0.25">
      <c r="AE445849" s="34"/>
      <c r="AF445849" s="34"/>
    </row>
    <row r="445857" spans="31:32" x14ac:dyDescent="0.25">
      <c r="AE445857" s="36"/>
      <c r="AF445857" s="36"/>
    </row>
    <row r="445953" spans="31:32" x14ac:dyDescent="0.25">
      <c r="AE445953" s="34"/>
      <c r="AF445953" s="34"/>
    </row>
    <row r="445961" spans="31:32" x14ac:dyDescent="0.25">
      <c r="AE445961" s="36"/>
      <c r="AF445961" s="36"/>
    </row>
    <row r="446057" spans="31:32" x14ac:dyDescent="0.25">
      <c r="AE446057" s="34"/>
      <c r="AF446057" s="34"/>
    </row>
    <row r="446065" spans="31:32" x14ac:dyDescent="0.25">
      <c r="AE446065" s="36"/>
      <c r="AF446065" s="36"/>
    </row>
    <row r="446161" spans="31:32" x14ac:dyDescent="0.25">
      <c r="AE446161" s="34"/>
      <c r="AF446161" s="34"/>
    </row>
    <row r="446169" spans="31:32" x14ac:dyDescent="0.25">
      <c r="AE446169" s="36"/>
      <c r="AF446169" s="36"/>
    </row>
    <row r="446265" spans="31:32" x14ac:dyDescent="0.25">
      <c r="AE446265" s="34"/>
      <c r="AF446265" s="34"/>
    </row>
    <row r="446273" spans="31:32" x14ac:dyDescent="0.25">
      <c r="AE446273" s="36"/>
      <c r="AF446273" s="36"/>
    </row>
    <row r="446369" spans="31:32" x14ac:dyDescent="0.25">
      <c r="AE446369" s="34"/>
      <c r="AF446369" s="34"/>
    </row>
    <row r="446377" spans="31:32" x14ac:dyDescent="0.25">
      <c r="AE446377" s="36"/>
      <c r="AF446377" s="36"/>
    </row>
    <row r="446473" spans="31:32" x14ac:dyDescent="0.25">
      <c r="AE446473" s="34"/>
      <c r="AF446473" s="34"/>
    </row>
    <row r="446481" spans="31:32" x14ac:dyDescent="0.25">
      <c r="AE446481" s="36"/>
      <c r="AF446481" s="36"/>
    </row>
    <row r="446577" spans="31:32" x14ac:dyDescent="0.25">
      <c r="AE446577" s="34"/>
      <c r="AF446577" s="34"/>
    </row>
    <row r="446585" spans="31:32" x14ac:dyDescent="0.25">
      <c r="AE446585" s="36"/>
      <c r="AF446585" s="36"/>
    </row>
    <row r="446681" spans="31:32" x14ac:dyDescent="0.25">
      <c r="AE446681" s="34"/>
      <c r="AF446681" s="34"/>
    </row>
    <row r="446689" spans="31:32" x14ac:dyDescent="0.25">
      <c r="AE446689" s="36"/>
      <c r="AF446689" s="36"/>
    </row>
    <row r="446785" spans="31:32" x14ac:dyDescent="0.25">
      <c r="AE446785" s="34"/>
      <c r="AF446785" s="34"/>
    </row>
    <row r="446793" spans="31:32" x14ac:dyDescent="0.25">
      <c r="AE446793" s="36"/>
      <c r="AF446793" s="36"/>
    </row>
    <row r="446889" spans="31:32" x14ac:dyDescent="0.25">
      <c r="AE446889" s="34"/>
      <c r="AF446889" s="34"/>
    </row>
    <row r="446897" spans="31:32" x14ac:dyDescent="0.25">
      <c r="AE446897" s="36"/>
      <c r="AF446897" s="36"/>
    </row>
    <row r="446993" spans="31:32" x14ac:dyDescent="0.25">
      <c r="AE446993" s="34"/>
      <c r="AF446993" s="34"/>
    </row>
    <row r="447001" spans="31:32" x14ac:dyDescent="0.25">
      <c r="AE447001" s="36"/>
      <c r="AF447001" s="36"/>
    </row>
    <row r="447097" spans="31:32" x14ac:dyDescent="0.25">
      <c r="AE447097" s="34"/>
      <c r="AF447097" s="34"/>
    </row>
    <row r="447105" spans="31:32" x14ac:dyDescent="0.25">
      <c r="AE447105" s="36"/>
      <c r="AF447105" s="36"/>
    </row>
    <row r="447201" spans="31:32" x14ac:dyDescent="0.25">
      <c r="AE447201" s="34"/>
      <c r="AF447201" s="34"/>
    </row>
    <row r="447209" spans="31:32" x14ac:dyDescent="0.25">
      <c r="AE447209" s="36"/>
      <c r="AF447209" s="36"/>
    </row>
    <row r="447305" spans="31:32" x14ac:dyDescent="0.25">
      <c r="AE447305" s="34"/>
      <c r="AF447305" s="34"/>
    </row>
    <row r="447313" spans="31:32" x14ac:dyDescent="0.25">
      <c r="AE447313" s="36"/>
      <c r="AF447313" s="36"/>
    </row>
    <row r="447409" spans="31:32" x14ac:dyDescent="0.25">
      <c r="AE447409" s="34"/>
      <c r="AF447409" s="34"/>
    </row>
    <row r="447417" spans="31:32" x14ac:dyDescent="0.25">
      <c r="AE447417" s="36"/>
      <c r="AF447417" s="36"/>
    </row>
    <row r="447513" spans="31:32" x14ac:dyDescent="0.25">
      <c r="AE447513" s="34"/>
      <c r="AF447513" s="34"/>
    </row>
    <row r="447521" spans="31:32" x14ac:dyDescent="0.25">
      <c r="AE447521" s="36"/>
      <c r="AF447521" s="36"/>
    </row>
    <row r="447617" spans="31:32" x14ac:dyDescent="0.25">
      <c r="AE447617" s="34"/>
      <c r="AF447617" s="34"/>
    </row>
    <row r="447625" spans="31:32" x14ac:dyDescent="0.25">
      <c r="AE447625" s="36"/>
      <c r="AF447625" s="36"/>
    </row>
    <row r="447721" spans="31:32" x14ac:dyDescent="0.25">
      <c r="AE447721" s="34"/>
      <c r="AF447721" s="34"/>
    </row>
    <row r="447729" spans="31:32" x14ac:dyDescent="0.25">
      <c r="AE447729" s="36"/>
      <c r="AF447729" s="36"/>
    </row>
    <row r="447825" spans="31:32" x14ac:dyDescent="0.25">
      <c r="AE447825" s="34"/>
      <c r="AF447825" s="34"/>
    </row>
    <row r="447833" spans="31:32" x14ac:dyDescent="0.25">
      <c r="AE447833" s="36"/>
      <c r="AF447833" s="36"/>
    </row>
    <row r="447929" spans="31:32" x14ac:dyDescent="0.25">
      <c r="AE447929" s="34"/>
      <c r="AF447929" s="34"/>
    </row>
    <row r="447937" spans="31:32" x14ac:dyDescent="0.25">
      <c r="AE447937" s="36"/>
      <c r="AF447937" s="36"/>
    </row>
    <row r="448033" spans="31:32" x14ac:dyDescent="0.25">
      <c r="AE448033" s="34"/>
      <c r="AF448033" s="34"/>
    </row>
    <row r="448041" spans="31:32" x14ac:dyDescent="0.25">
      <c r="AE448041" s="36"/>
      <c r="AF448041" s="36"/>
    </row>
    <row r="448137" spans="31:32" x14ac:dyDescent="0.25">
      <c r="AE448137" s="34"/>
      <c r="AF448137" s="34"/>
    </row>
    <row r="448145" spans="31:32" x14ac:dyDescent="0.25">
      <c r="AE448145" s="36"/>
      <c r="AF448145" s="36"/>
    </row>
    <row r="448241" spans="31:32" x14ac:dyDescent="0.25">
      <c r="AE448241" s="34"/>
      <c r="AF448241" s="34"/>
    </row>
    <row r="448249" spans="31:32" x14ac:dyDescent="0.25">
      <c r="AE448249" s="36"/>
      <c r="AF448249" s="36"/>
    </row>
    <row r="448345" spans="31:32" x14ac:dyDescent="0.25">
      <c r="AE448345" s="34"/>
      <c r="AF448345" s="34"/>
    </row>
    <row r="448353" spans="31:32" x14ac:dyDescent="0.25">
      <c r="AE448353" s="36"/>
      <c r="AF448353" s="36"/>
    </row>
    <row r="448449" spans="31:32" x14ac:dyDescent="0.25">
      <c r="AE448449" s="34"/>
      <c r="AF448449" s="34"/>
    </row>
    <row r="448457" spans="31:32" x14ac:dyDescent="0.25">
      <c r="AE448457" s="36"/>
      <c r="AF448457" s="36"/>
    </row>
    <row r="448553" spans="31:32" x14ac:dyDescent="0.25">
      <c r="AE448553" s="34"/>
      <c r="AF448553" s="34"/>
    </row>
    <row r="448561" spans="31:32" x14ac:dyDescent="0.25">
      <c r="AE448561" s="36"/>
      <c r="AF448561" s="36"/>
    </row>
    <row r="448657" spans="31:32" x14ac:dyDescent="0.25">
      <c r="AE448657" s="34"/>
      <c r="AF448657" s="34"/>
    </row>
    <row r="448665" spans="31:32" x14ac:dyDescent="0.25">
      <c r="AE448665" s="36"/>
      <c r="AF448665" s="36"/>
    </row>
    <row r="448761" spans="31:32" x14ac:dyDescent="0.25">
      <c r="AE448761" s="34"/>
      <c r="AF448761" s="34"/>
    </row>
    <row r="448769" spans="31:32" x14ac:dyDescent="0.25">
      <c r="AE448769" s="36"/>
      <c r="AF448769" s="36"/>
    </row>
    <row r="448865" spans="31:32" x14ac:dyDescent="0.25">
      <c r="AE448865" s="34"/>
      <c r="AF448865" s="34"/>
    </row>
    <row r="448873" spans="31:32" x14ac:dyDescent="0.25">
      <c r="AE448873" s="36"/>
      <c r="AF448873" s="36"/>
    </row>
    <row r="448969" spans="31:32" x14ac:dyDescent="0.25">
      <c r="AE448969" s="34"/>
      <c r="AF448969" s="34"/>
    </row>
    <row r="448977" spans="31:32" x14ac:dyDescent="0.25">
      <c r="AE448977" s="36"/>
      <c r="AF448977" s="36"/>
    </row>
    <row r="449073" spans="31:32" x14ac:dyDescent="0.25">
      <c r="AE449073" s="34"/>
      <c r="AF449073" s="34"/>
    </row>
    <row r="449081" spans="31:32" x14ac:dyDescent="0.25">
      <c r="AE449081" s="36"/>
      <c r="AF449081" s="36"/>
    </row>
    <row r="449177" spans="31:32" x14ac:dyDescent="0.25">
      <c r="AE449177" s="34"/>
      <c r="AF449177" s="34"/>
    </row>
    <row r="449185" spans="31:32" x14ac:dyDescent="0.25">
      <c r="AE449185" s="36"/>
      <c r="AF449185" s="36"/>
    </row>
    <row r="449281" spans="31:32" x14ac:dyDescent="0.25">
      <c r="AE449281" s="34"/>
      <c r="AF449281" s="34"/>
    </row>
    <row r="449289" spans="31:32" x14ac:dyDescent="0.25">
      <c r="AE449289" s="36"/>
      <c r="AF449289" s="36"/>
    </row>
    <row r="449385" spans="31:32" x14ac:dyDescent="0.25">
      <c r="AE449385" s="34"/>
      <c r="AF449385" s="34"/>
    </row>
    <row r="449393" spans="31:32" x14ac:dyDescent="0.25">
      <c r="AE449393" s="36"/>
      <c r="AF449393" s="36"/>
    </row>
    <row r="449489" spans="31:32" x14ac:dyDescent="0.25">
      <c r="AE449489" s="34"/>
      <c r="AF449489" s="34"/>
    </row>
    <row r="449497" spans="31:32" x14ac:dyDescent="0.25">
      <c r="AE449497" s="36"/>
      <c r="AF449497" s="36"/>
    </row>
    <row r="449593" spans="31:32" x14ac:dyDescent="0.25">
      <c r="AE449593" s="34"/>
      <c r="AF449593" s="34"/>
    </row>
    <row r="449601" spans="31:32" x14ac:dyDescent="0.25">
      <c r="AE449601" s="36"/>
      <c r="AF449601" s="36"/>
    </row>
    <row r="449697" spans="31:32" x14ac:dyDescent="0.25">
      <c r="AE449697" s="34"/>
      <c r="AF449697" s="34"/>
    </row>
    <row r="449705" spans="31:32" x14ac:dyDescent="0.25">
      <c r="AE449705" s="36"/>
      <c r="AF449705" s="36"/>
    </row>
    <row r="449801" spans="31:32" x14ac:dyDescent="0.25">
      <c r="AE449801" s="34"/>
      <c r="AF449801" s="34"/>
    </row>
    <row r="449809" spans="31:32" x14ac:dyDescent="0.25">
      <c r="AE449809" s="36"/>
      <c r="AF449809" s="36"/>
    </row>
    <row r="449905" spans="31:32" x14ac:dyDescent="0.25">
      <c r="AE449905" s="34"/>
      <c r="AF449905" s="34"/>
    </row>
    <row r="449913" spans="31:32" x14ac:dyDescent="0.25">
      <c r="AE449913" s="36"/>
      <c r="AF449913" s="36"/>
    </row>
    <row r="450009" spans="31:32" x14ac:dyDescent="0.25">
      <c r="AE450009" s="34"/>
      <c r="AF450009" s="34"/>
    </row>
    <row r="450017" spans="31:32" x14ac:dyDescent="0.25">
      <c r="AE450017" s="36"/>
      <c r="AF450017" s="36"/>
    </row>
    <row r="450113" spans="31:32" x14ac:dyDescent="0.25">
      <c r="AE450113" s="34"/>
      <c r="AF450113" s="34"/>
    </row>
    <row r="450121" spans="31:32" x14ac:dyDescent="0.25">
      <c r="AE450121" s="36"/>
      <c r="AF450121" s="36"/>
    </row>
    <row r="450217" spans="31:32" x14ac:dyDescent="0.25">
      <c r="AE450217" s="34"/>
      <c r="AF450217" s="34"/>
    </row>
    <row r="450225" spans="31:32" x14ac:dyDescent="0.25">
      <c r="AE450225" s="36"/>
      <c r="AF450225" s="36"/>
    </row>
    <row r="450321" spans="31:32" x14ac:dyDescent="0.25">
      <c r="AE450321" s="34"/>
      <c r="AF450321" s="34"/>
    </row>
    <row r="450329" spans="31:32" x14ac:dyDescent="0.25">
      <c r="AE450329" s="36"/>
      <c r="AF450329" s="36"/>
    </row>
    <row r="450425" spans="31:32" x14ac:dyDescent="0.25">
      <c r="AE450425" s="34"/>
      <c r="AF450425" s="34"/>
    </row>
    <row r="450433" spans="31:32" x14ac:dyDescent="0.25">
      <c r="AE450433" s="36"/>
      <c r="AF450433" s="36"/>
    </row>
    <row r="450529" spans="31:32" x14ac:dyDescent="0.25">
      <c r="AE450529" s="34"/>
      <c r="AF450529" s="34"/>
    </row>
    <row r="450537" spans="31:32" x14ac:dyDescent="0.25">
      <c r="AE450537" s="36"/>
      <c r="AF450537" s="36"/>
    </row>
    <row r="450633" spans="31:32" x14ac:dyDescent="0.25">
      <c r="AE450633" s="34"/>
      <c r="AF450633" s="34"/>
    </row>
    <row r="450641" spans="31:32" x14ac:dyDescent="0.25">
      <c r="AE450641" s="36"/>
      <c r="AF450641" s="36"/>
    </row>
    <row r="450737" spans="31:32" x14ac:dyDescent="0.25">
      <c r="AE450737" s="34"/>
      <c r="AF450737" s="34"/>
    </row>
    <row r="450745" spans="31:32" x14ac:dyDescent="0.25">
      <c r="AE450745" s="36"/>
      <c r="AF450745" s="36"/>
    </row>
    <row r="450841" spans="31:32" x14ac:dyDescent="0.25">
      <c r="AE450841" s="34"/>
      <c r="AF450841" s="34"/>
    </row>
    <row r="450849" spans="31:32" x14ac:dyDescent="0.25">
      <c r="AE450849" s="36"/>
      <c r="AF450849" s="36"/>
    </row>
    <row r="450945" spans="31:32" x14ac:dyDescent="0.25">
      <c r="AE450945" s="34"/>
      <c r="AF450945" s="34"/>
    </row>
    <row r="450953" spans="31:32" x14ac:dyDescent="0.25">
      <c r="AE450953" s="36"/>
      <c r="AF450953" s="36"/>
    </row>
    <row r="451049" spans="31:32" x14ac:dyDescent="0.25">
      <c r="AE451049" s="34"/>
      <c r="AF451049" s="34"/>
    </row>
    <row r="451057" spans="31:32" x14ac:dyDescent="0.25">
      <c r="AE451057" s="36"/>
      <c r="AF451057" s="36"/>
    </row>
    <row r="451153" spans="31:32" x14ac:dyDescent="0.25">
      <c r="AE451153" s="34"/>
      <c r="AF451153" s="34"/>
    </row>
    <row r="451161" spans="31:32" x14ac:dyDescent="0.25">
      <c r="AE451161" s="36"/>
      <c r="AF451161" s="36"/>
    </row>
    <row r="451257" spans="31:32" x14ac:dyDescent="0.25">
      <c r="AE451257" s="34"/>
      <c r="AF451257" s="34"/>
    </row>
    <row r="451265" spans="31:32" x14ac:dyDescent="0.25">
      <c r="AE451265" s="36"/>
      <c r="AF451265" s="36"/>
    </row>
    <row r="451361" spans="31:32" x14ac:dyDescent="0.25">
      <c r="AE451361" s="34"/>
      <c r="AF451361" s="34"/>
    </row>
    <row r="451369" spans="31:32" x14ac:dyDescent="0.25">
      <c r="AE451369" s="36"/>
      <c r="AF451369" s="36"/>
    </row>
    <row r="451465" spans="31:32" x14ac:dyDescent="0.25">
      <c r="AE451465" s="34"/>
      <c r="AF451465" s="34"/>
    </row>
    <row r="451473" spans="31:32" x14ac:dyDescent="0.25">
      <c r="AE451473" s="36"/>
      <c r="AF451473" s="36"/>
    </row>
    <row r="451569" spans="31:32" x14ac:dyDescent="0.25">
      <c r="AE451569" s="34"/>
      <c r="AF451569" s="34"/>
    </row>
    <row r="451577" spans="31:32" x14ac:dyDescent="0.25">
      <c r="AE451577" s="36"/>
      <c r="AF451577" s="36"/>
    </row>
    <row r="451673" spans="31:32" x14ac:dyDescent="0.25">
      <c r="AE451673" s="34"/>
      <c r="AF451673" s="34"/>
    </row>
    <row r="451681" spans="31:32" x14ac:dyDescent="0.25">
      <c r="AE451681" s="36"/>
      <c r="AF451681" s="36"/>
    </row>
    <row r="451777" spans="31:32" x14ac:dyDescent="0.25">
      <c r="AE451777" s="34"/>
      <c r="AF451777" s="34"/>
    </row>
    <row r="451785" spans="31:32" x14ac:dyDescent="0.25">
      <c r="AE451785" s="36"/>
      <c r="AF451785" s="36"/>
    </row>
    <row r="451881" spans="31:32" x14ac:dyDescent="0.25">
      <c r="AE451881" s="34"/>
      <c r="AF451881" s="34"/>
    </row>
    <row r="451889" spans="31:32" x14ac:dyDescent="0.25">
      <c r="AE451889" s="36"/>
      <c r="AF451889" s="36"/>
    </row>
    <row r="451985" spans="31:32" x14ac:dyDescent="0.25">
      <c r="AE451985" s="34"/>
      <c r="AF451985" s="34"/>
    </row>
    <row r="451993" spans="31:32" x14ac:dyDescent="0.25">
      <c r="AE451993" s="36"/>
      <c r="AF451993" s="36"/>
    </row>
    <row r="452089" spans="31:32" x14ac:dyDescent="0.25">
      <c r="AE452089" s="34"/>
      <c r="AF452089" s="34"/>
    </row>
    <row r="452097" spans="31:32" x14ac:dyDescent="0.25">
      <c r="AE452097" s="36"/>
      <c r="AF452097" s="36"/>
    </row>
    <row r="452193" spans="31:32" x14ac:dyDescent="0.25">
      <c r="AE452193" s="34"/>
      <c r="AF452193" s="34"/>
    </row>
    <row r="452201" spans="31:32" x14ac:dyDescent="0.25">
      <c r="AE452201" s="36"/>
      <c r="AF452201" s="36"/>
    </row>
    <row r="452297" spans="31:32" x14ac:dyDescent="0.25">
      <c r="AE452297" s="34"/>
      <c r="AF452297" s="34"/>
    </row>
    <row r="452305" spans="31:32" x14ac:dyDescent="0.25">
      <c r="AE452305" s="36"/>
      <c r="AF452305" s="36"/>
    </row>
    <row r="452401" spans="31:32" x14ac:dyDescent="0.25">
      <c r="AE452401" s="34"/>
      <c r="AF452401" s="34"/>
    </row>
    <row r="452409" spans="31:32" x14ac:dyDescent="0.25">
      <c r="AE452409" s="36"/>
      <c r="AF452409" s="36"/>
    </row>
    <row r="452505" spans="31:32" x14ac:dyDescent="0.25">
      <c r="AE452505" s="34"/>
      <c r="AF452505" s="34"/>
    </row>
    <row r="452513" spans="31:32" x14ac:dyDescent="0.25">
      <c r="AE452513" s="36"/>
      <c r="AF452513" s="36"/>
    </row>
    <row r="452609" spans="31:32" x14ac:dyDescent="0.25">
      <c r="AE452609" s="34"/>
      <c r="AF452609" s="34"/>
    </row>
    <row r="452617" spans="31:32" x14ac:dyDescent="0.25">
      <c r="AE452617" s="36"/>
      <c r="AF452617" s="36"/>
    </row>
    <row r="452713" spans="31:32" x14ac:dyDescent="0.25">
      <c r="AE452713" s="34"/>
      <c r="AF452713" s="34"/>
    </row>
    <row r="452721" spans="31:32" x14ac:dyDescent="0.25">
      <c r="AE452721" s="36"/>
      <c r="AF452721" s="36"/>
    </row>
    <row r="452817" spans="31:32" x14ac:dyDescent="0.25">
      <c r="AE452817" s="34"/>
      <c r="AF452817" s="34"/>
    </row>
    <row r="452825" spans="31:32" x14ac:dyDescent="0.25">
      <c r="AE452825" s="36"/>
      <c r="AF452825" s="36"/>
    </row>
    <row r="452921" spans="31:32" x14ac:dyDescent="0.25">
      <c r="AE452921" s="34"/>
      <c r="AF452921" s="34"/>
    </row>
    <row r="452929" spans="31:32" x14ac:dyDescent="0.25">
      <c r="AE452929" s="36"/>
      <c r="AF452929" s="36"/>
    </row>
    <row r="453025" spans="31:32" x14ac:dyDescent="0.25">
      <c r="AE453025" s="34"/>
      <c r="AF453025" s="34"/>
    </row>
    <row r="453033" spans="31:32" x14ac:dyDescent="0.25">
      <c r="AE453033" s="36"/>
      <c r="AF453033" s="36"/>
    </row>
    <row r="453129" spans="31:32" x14ac:dyDescent="0.25">
      <c r="AE453129" s="34"/>
      <c r="AF453129" s="34"/>
    </row>
    <row r="453137" spans="31:32" x14ac:dyDescent="0.25">
      <c r="AE453137" s="36"/>
      <c r="AF453137" s="36"/>
    </row>
    <row r="453233" spans="31:32" x14ac:dyDescent="0.25">
      <c r="AE453233" s="34"/>
      <c r="AF453233" s="34"/>
    </row>
    <row r="453241" spans="31:32" x14ac:dyDescent="0.25">
      <c r="AE453241" s="36"/>
      <c r="AF453241" s="36"/>
    </row>
    <row r="453337" spans="31:32" x14ac:dyDescent="0.25">
      <c r="AE453337" s="34"/>
      <c r="AF453337" s="34"/>
    </row>
    <row r="453345" spans="31:32" x14ac:dyDescent="0.25">
      <c r="AE453345" s="36"/>
      <c r="AF453345" s="36"/>
    </row>
    <row r="453441" spans="31:32" x14ac:dyDescent="0.25">
      <c r="AE453441" s="34"/>
      <c r="AF453441" s="34"/>
    </row>
    <row r="453449" spans="31:32" x14ac:dyDescent="0.25">
      <c r="AE453449" s="36"/>
      <c r="AF453449" s="36"/>
    </row>
    <row r="453545" spans="31:32" x14ac:dyDescent="0.25">
      <c r="AE453545" s="34"/>
      <c r="AF453545" s="34"/>
    </row>
    <row r="453553" spans="31:32" x14ac:dyDescent="0.25">
      <c r="AE453553" s="36"/>
      <c r="AF453553" s="36"/>
    </row>
    <row r="453649" spans="31:32" x14ac:dyDescent="0.25">
      <c r="AE453649" s="34"/>
      <c r="AF453649" s="34"/>
    </row>
    <row r="453657" spans="31:32" x14ac:dyDescent="0.25">
      <c r="AE453657" s="36"/>
      <c r="AF453657" s="36"/>
    </row>
    <row r="453753" spans="31:32" x14ac:dyDescent="0.25">
      <c r="AE453753" s="34"/>
      <c r="AF453753" s="34"/>
    </row>
    <row r="453761" spans="31:32" x14ac:dyDescent="0.25">
      <c r="AE453761" s="36"/>
      <c r="AF453761" s="36"/>
    </row>
    <row r="453857" spans="31:32" x14ac:dyDescent="0.25">
      <c r="AE453857" s="34"/>
      <c r="AF453857" s="34"/>
    </row>
    <row r="453865" spans="31:32" x14ac:dyDescent="0.25">
      <c r="AE453865" s="36"/>
      <c r="AF453865" s="36"/>
    </row>
    <row r="453961" spans="31:32" x14ac:dyDescent="0.25">
      <c r="AE453961" s="34"/>
      <c r="AF453961" s="34"/>
    </row>
    <row r="453969" spans="31:32" x14ac:dyDescent="0.25">
      <c r="AE453969" s="36"/>
      <c r="AF453969" s="36"/>
    </row>
    <row r="454065" spans="31:32" x14ac:dyDescent="0.25">
      <c r="AE454065" s="34"/>
      <c r="AF454065" s="34"/>
    </row>
    <row r="454073" spans="31:32" x14ac:dyDescent="0.25">
      <c r="AE454073" s="36"/>
      <c r="AF454073" s="36"/>
    </row>
    <row r="454169" spans="31:32" x14ac:dyDescent="0.25">
      <c r="AE454169" s="34"/>
      <c r="AF454169" s="34"/>
    </row>
    <row r="454177" spans="31:32" x14ac:dyDescent="0.25">
      <c r="AE454177" s="36"/>
      <c r="AF454177" s="36"/>
    </row>
    <row r="454273" spans="31:32" x14ac:dyDescent="0.25">
      <c r="AE454273" s="34"/>
      <c r="AF454273" s="34"/>
    </row>
    <row r="454281" spans="31:32" x14ac:dyDescent="0.25">
      <c r="AE454281" s="36"/>
      <c r="AF454281" s="36"/>
    </row>
    <row r="454377" spans="31:32" x14ac:dyDescent="0.25">
      <c r="AE454377" s="34"/>
      <c r="AF454377" s="34"/>
    </row>
    <row r="454385" spans="31:32" x14ac:dyDescent="0.25">
      <c r="AE454385" s="36"/>
      <c r="AF454385" s="36"/>
    </row>
    <row r="454481" spans="31:32" x14ac:dyDescent="0.25">
      <c r="AE454481" s="34"/>
      <c r="AF454481" s="34"/>
    </row>
    <row r="454489" spans="31:32" x14ac:dyDescent="0.25">
      <c r="AE454489" s="36"/>
      <c r="AF454489" s="36"/>
    </row>
    <row r="454585" spans="31:32" x14ac:dyDescent="0.25">
      <c r="AE454585" s="34"/>
      <c r="AF454585" s="34"/>
    </row>
    <row r="454593" spans="31:32" x14ac:dyDescent="0.25">
      <c r="AE454593" s="36"/>
      <c r="AF454593" s="36"/>
    </row>
    <row r="454689" spans="31:32" x14ac:dyDescent="0.25">
      <c r="AE454689" s="34"/>
      <c r="AF454689" s="34"/>
    </row>
    <row r="454697" spans="31:32" x14ac:dyDescent="0.25">
      <c r="AE454697" s="36"/>
      <c r="AF454697" s="36"/>
    </row>
    <row r="454793" spans="31:32" x14ac:dyDescent="0.25">
      <c r="AE454793" s="34"/>
      <c r="AF454793" s="34"/>
    </row>
    <row r="454801" spans="31:32" x14ac:dyDescent="0.25">
      <c r="AE454801" s="36"/>
      <c r="AF454801" s="36"/>
    </row>
    <row r="454897" spans="31:32" x14ac:dyDescent="0.25">
      <c r="AE454897" s="34"/>
      <c r="AF454897" s="34"/>
    </row>
    <row r="454905" spans="31:32" x14ac:dyDescent="0.25">
      <c r="AE454905" s="36"/>
      <c r="AF454905" s="36"/>
    </row>
    <row r="455001" spans="31:32" x14ac:dyDescent="0.25">
      <c r="AE455001" s="34"/>
      <c r="AF455001" s="34"/>
    </row>
    <row r="455009" spans="31:32" x14ac:dyDescent="0.25">
      <c r="AE455009" s="36"/>
      <c r="AF455009" s="36"/>
    </row>
    <row r="455105" spans="31:32" x14ac:dyDescent="0.25">
      <c r="AE455105" s="34"/>
      <c r="AF455105" s="34"/>
    </row>
    <row r="455113" spans="31:32" x14ac:dyDescent="0.25">
      <c r="AE455113" s="36"/>
      <c r="AF455113" s="36"/>
    </row>
    <row r="455209" spans="31:32" x14ac:dyDescent="0.25">
      <c r="AE455209" s="34"/>
      <c r="AF455209" s="34"/>
    </row>
    <row r="455217" spans="31:32" x14ac:dyDescent="0.25">
      <c r="AE455217" s="36"/>
      <c r="AF455217" s="36"/>
    </row>
    <row r="455313" spans="31:32" x14ac:dyDescent="0.25">
      <c r="AE455313" s="34"/>
      <c r="AF455313" s="34"/>
    </row>
    <row r="455321" spans="31:32" x14ac:dyDescent="0.25">
      <c r="AE455321" s="36"/>
      <c r="AF455321" s="36"/>
    </row>
    <row r="455417" spans="31:32" x14ac:dyDescent="0.25">
      <c r="AE455417" s="34"/>
      <c r="AF455417" s="34"/>
    </row>
    <row r="455425" spans="31:32" x14ac:dyDescent="0.25">
      <c r="AE455425" s="36"/>
      <c r="AF455425" s="36"/>
    </row>
    <row r="455521" spans="31:32" x14ac:dyDescent="0.25">
      <c r="AE455521" s="34"/>
      <c r="AF455521" s="34"/>
    </row>
    <row r="455529" spans="31:32" x14ac:dyDescent="0.25">
      <c r="AE455529" s="36"/>
      <c r="AF455529" s="36"/>
    </row>
    <row r="455625" spans="31:32" x14ac:dyDescent="0.25">
      <c r="AE455625" s="34"/>
      <c r="AF455625" s="34"/>
    </row>
    <row r="455633" spans="31:32" x14ac:dyDescent="0.25">
      <c r="AE455633" s="36"/>
      <c r="AF455633" s="36"/>
    </row>
    <row r="455729" spans="31:32" x14ac:dyDescent="0.25">
      <c r="AE455729" s="34"/>
      <c r="AF455729" s="34"/>
    </row>
    <row r="455737" spans="31:32" x14ac:dyDescent="0.25">
      <c r="AE455737" s="36"/>
      <c r="AF455737" s="36"/>
    </row>
    <row r="455833" spans="31:32" x14ac:dyDescent="0.25">
      <c r="AE455833" s="34"/>
      <c r="AF455833" s="34"/>
    </row>
    <row r="455841" spans="31:32" x14ac:dyDescent="0.25">
      <c r="AE455841" s="36"/>
      <c r="AF455841" s="36"/>
    </row>
    <row r="455937" spans="31:32" x14ac:dyDescent="0.25">
      <c r="AE455937" s="34"/>
      <c r="AF455937" s="34"/>
    </row>
    <row r="455945" spans="31:32" x14ac:dyDescent="0.25">
      <c r="AE455945" s="36"/>
      <c r="AF455945" s="36"/>
    </row>
    <row r="456041" spans="31:32" x14ac:dyDescent="0.25">
      <c r="AE456041" s="34"/>
      <c r="AF456041" s="34"/>
    </row>
    <row r="456049" spans="31:32" x14ac:dyDescent="0.25">
      <c r="AE456049" s="36"/>
      <c r="AF456049" s="36"/>
    </row>
    <row r="456145" spans="31:32" x14ac:dyDescent="0.25">
      <c r="AE456145" s="34"/>
      <c r="AF456145" s="34"/>
    </row>
    <row r="456153" spans="31:32" x14ac:dyDescent="0.25">
      <c r="AE456153" s="36"/>
      <c r="AF456153" s="36"/>
    </row>
    <row r="456249" spans="31:32" x14ac:dyDescent="0.25">
      <c r="AE456249" s="34"/>
      <c r="AF456249" s="34"/>
    </row>
    <row r="456257" spans="31:32" x14ac:dyDescent="0.25">
      <c r="AE456257" s="36"/>
      <c r="AF456257" s="36"/>
    </row>
    <row r="456353" spans="31:32" x14ac:dyDescent="0.25">
      <c r="AE456353" s="34"/>
      <c r="AF456353" s="34"/>
    </row>
    <row r="456361" spans="31:32" x14ac:dyDescent="0.25">
      <c r="AE456361" s="36"/>
      <c r="AF456361" s="36"/>
    </row>
    <row r="456457" spans="31:32" x14ac:dyDescent="0.25">
      <c r="AE456457" s="34"/>
      <c r="AF456457" s="34"/>
    </row>
    <row r="456465" spans="31:32" x14ac:dyDescent="0.25">
      <c r="AE456465" s="36"/>
      <c r="AF456465" s="36"/>
    </row>
    <row r="456561" spans="31:32" x14ac:dyDescent="0.25">
      <c r="AE456561" s="34"/>
      <c r="AF456561" s="34"/>
    </row>
    <row r="456569" spans="31:32" x14ac:dyDescent="0.25">
      <c r="AE456569" s="36"/>
      <c r="AF456569" s="36"/>
    </row>
    <row r="456665" spans="31:32" x14ac:dyDescent="0.25">
      <c r="AE456665" s="34"/>
      <c r="AF456665" s="34"/>
    </row>
    <row r="456673" spans="31:32" x14ac:dyDescent="0.25">
      <c r="AE456673" s="36"/>
      <c r="AF456673" s="36"/>
    </row>
    <row r="456769" spans="31:32" x14ac:dyDescent="0.25">
      <c r="AE456769" s="34"/>
      <c r="AF456769" s="34"/>
    </row>
    <row r="456777" spans="31:32" x14ac:dyDescent="0.25">
      <c r="AE456777" s="36"/>
      <c r="AF456777" s="36"/>
    </row>
    <row r="456873" spans="31:32" x14ac:dyDescent="0.25">
      <c r="AE456873" s="34"/>
      <c r="AF456873" s="34"/>
    </row>
    <row r="456881" spans="31:32" x14ac:dyDescent="0.25">
      <c r="AE456881" s="36"/>
      <c r="AF456881" s="36"/>
    </row>
    <row r="456977" spans="31:32" x14ac:dyDescent="0.25">
      <c r="AE456977" s="34"/>
      <c r="AF456977" s="34"/>
    </row>
    <row r="456985" spans="31:32" x14ac:dyDescent="0.25">
      <c r="AE456985" s="36"/>
      <c r="AF456985" s="36"/>
    </row>
    <row r="457081" spans="31:32" x14ac:dyDescent="0.25">
      <c r="AE457081" s="34"/>
      <c r="AF457081" s="34"/>
    </row>
    <row r="457089" spans="31:32" x14ac:dyDescent="0.25">
      <c r="AE457089" s="36"/>
      <c r="AF457089" s="36"/>
    </row>
    <row r="457185" spans="31:32" x14ac:dyDescent="0.25">
      <c r="AE457185" s="34"/>
      <c r="AF457185" s="34"/>
    </row>
    <row r="457193" spans="31:32" x14ac:dyDescent="0.25">
      <c r="AE457193" s="36"/>
      <c r="AF457193" s="36"/>
    </row>
    <row r="457289" spans="31:32" x14ac:dyDescent="0.25">
      <c r="AE457289" s="34"/>
      <c r="AF457289" s="34"/>
    </row>
    <row r="457297" spans="31:32" x14ac:dyDescent="0.25">
      <c r="AE457297" s="36"/>
      <c r="AF457297" s="36"/>
    </row>
    <row r="457393" spans="31:32" x14ac:dyDescent="0.25">
      <c r="AE457393" s="34"/>
      <c r="AF457393" s="34"/>
    </row>
    <row r="457401" spans="31:32" x14ac:dyDescent="0.25">
      <c r="AE457401" s="36"/>
      <c r="AF457401" s="36"/>
    </row>
    <row r="457497" spans="31:32" x14ac:dyDescent="0.25">
      <c r="AE457497" s="34"/>
      <c r="AF457497" s="34"/>
    </row>
    <row r="457505" spans="31:32" x14ac:dyDescent="0.25">
      <c r="AE457505" s="36"/>
      <c r="AF457505" s="36"/>
    </row>
    <row r="457601" spans="31:32" x14ac:dyDescent="0.25">
      <c r="AE457601" s="34"/>
      <c r="AF457601" s="34"/>
    </row>
    <row r="457609" spans="31:32" x14ac:dyDescent="0.25">
      <c r="AE457609" s="36"/>
      <c r="AF457609" s="36"/>
    </row>
    <row r="457705" spans="31:32" x14ac:dyDescent="0.25">
      <c r="AE457705" s="34"/>
      <c r="AF457705" s="34"/>
    </row>
    <row r="457713" spans="31:32" x14ac:dyDescent="0.25">
      <c r="AE457713" s="36"/>
      <c r="AF457713" s="36"/>
    </row>
    <row r="457809" spans="31:32" x14ac:dyDescent="0.25">
      <c r="AE457809" s="34"/>
      <c r="AF457809" s="34"/>
    </row>
    <row r="457817" spans="31:32" x14ac:dyDescent="0.25">
      <c r="AE457817" s="36"/>
      <c r="AF457817" s="36"/>
    </row>
    <row r="457913" spans="31:32" x14ac:dyDescent="0.25">
      <c r="AE457913" s="34"/>
      <c r="AF457913" s="34"/>
    </row>
    <row r="457921" spans="31:32" x14ac:dyDescent="0.25">
      <c r="AE457921" s="36"/>
      <c r="AF457921" s="36"/>
    </row>
    <row r="458017" spans="31:32" x14ac:dyDescent="0.25">
      <c r="AE458017" s="34"/>
      <c r="AF458017" s="34"/>
    </row>
    <row r="458025" spans="31:32" x14ac:dyDescent="0.25">
      <c r="AE458025" s="36"/>
      <c r="AF458025" s="36"/>
    </row>
    <row r="458121" spans="31:32" x14ac:dyDescent="0.25">
      <c r="AE458121" s="34"/>
      <c r="AF458121" s="34"/>
    </row>
    <row r="458129" spans="31:32" x14ac:dyDescent="0.25">
      <c r="AE458129" s="36"/>
      <c r="AF458129" s="36"/>
    </row>
    <row r="458225" spans="31:32" x14ac:dyDescent="0.25">
      <c r="AE458225" s="34"/>
      <c r="AF458225" s="34"/>
    </row>
    <row r="458233" spans="31:32" x14ac:dyDescent="0.25">
      <c r="AE458233" s="36"/>
      <c r="AF458233" s="36"/>
    </row>
    <row r="458329" spans="31:32" x14ac:dyDescent="0.25">
      <c r="AE458329" s="34"/>
      <c r="AF458329" s="34"/>
    </row>
    <row r="458337" spans="31:32" x14ac:dyDescent="0.25">
      <c r="AE458337" s="36"/>
      <c r="AF458337" s="36"/>
    </row>
    <row r="458433" spans="31:32" x14ac:dyDescent="0.25">
      <c r="AE458433" s="34"/>
      <c r="AF458433" s="34"/>
    </row>
    <row r="458441" spans="31:32" x14ac:dyDescent="0.25">
      <c r="AE458441" s="36"/>
      <c r="AF458441" s="36"/>
    </row>
    <row r="458537" spans="31:32" x14ac:dyDescent="0.25">
      <c r="AE458537" s="34"/>
      <c r="AF458537" s="34"/>
    </row>
    <row r="458545" spans="31:32" x14ac:dyDescent="0.25">
      <c r="AE458545" s="36"/>
      <c r="AF458545" s="36"/>
    </row>
    <row r="458641" spans="31:32" x14ac:dyDescent="0.25">
      <c r="AE458641" s="34"/>
      <c r="AF458641" s="34"/>
    </row>
    <row r="458649" spans="31:32" x14ac:dyDescent="0.25">
      <c r="AE458649" s="36"/>
      <c r="AF458649" s="36"/>
    </row>
    <row r="458745" spans="31:32" x14ac:dyDescent="0.25">
      <c r="AE458745" s="34"/>
      <c r="AF458745" s="34"/>
    </row>
    <row r="458753" spans="31:32" x14ac:dyDescent="0.25">
      <c r="AE458753" s="36"/>
      <c r="AF458753" s="36"/>
    </row>
    <row r="458849" spans="31:32" x14ac:dyDescent="0.25">
      <c r="AE458849" s="34"/>
      <c r="AF458849" s="34"/>
    </row>
    <row r="458857" spans="31:32" x14ac:dyDescent="0.25">
      <c r="AE458857" s="36"/>
      <c r="AF458857" s="36"/>
    </row>
    <row r="458953" spans="31:32" x14ac:dyDescent="0.25">
      <c r="AE458953" s="34"/>
      <c r="AF458953" s="34"/>
    </row>
    <row r="458961" spans="31:32" x14ac:dyDescent="0.25">
      <c r="AE458961" s="36"/>
      <c r="AF458961" s="36"/>
    </row>
    <row r="459057" spans="31:32" x14ac:dyDescent="0.25">
      <c r="AE459057" s="34"/>
      <c r="AF459057" s="34"/>
    </row>
    <row r="459065" spans="31:32" x14ac:dyDescent="0.25">
      <c r="AE459065" s="36"/>
      <c r="AF459065" s="36"/>
    </row>
    <row r="459161" spans="31:32" x14ac:dyDescent="0.25">
      <c r="AE459161" s="34"/>
      <c r="AF459161" s="34"/>
    </row>
    <row r="459169" spans="31:32" x14ac:dyDescent="0.25">
      <c r="AE459169" s="36"/>
      <c r="AF459169" s="36"/>
    </row>
    <row r="459265" spans="31:32" x14ac:dyDescent="0.25">
      <c r="AE459265" s="34"/>
      <c r="AF459265" s="34"/>
    </row>
    <row r="459273" spans="31:32" x14ac:dyDescent="0.25">
      <c r="AE459273" s="36"/>
      <c r="AF459273" s="36"/>
    </row>
    <row r="459369" spans="31:32" x14ac:dyDescent="0.25">
      <c r="AE459369" s="34"/>
      <c r="AF459369" s="34"/>
    </row>
    <row r="459377" spans="31:32" x14ac:dyDescent="0.25">
      <c r="AE459377" s="36"/>
      <c r="AF459377" s="36"/>
    </row>
    <row r="459473" spans="31:32" x14ac:dyDescent="0.25">
      <c r="AE459473" s="34"/>
      <c r="AF459473" s="34"/>
    </row>
    <row r="459481" spans="31:32" x14ac:dyDescent="0.25">
      <c r="AE459481" s="36"/>
      <c r="AF459481" s="36"/>
    </row>
    <row r="459577" spans="31:32" x14ac:dyDescent="0.25">
      <c r="AE459577" s="34"/>
      <c r="AF459577" s="34"/>
    </row>
    <row r="459585" spans="31:32" x14ac:dyDescent="0.25">
      <c r="AE459585" s="36"/>
      <c r="AF459585" s="36"/>
    </row>
    <row r="459681" spans="31:32" x14ac:dyDescent="0.25">
      <c r="AE459681" s="34"/>
      <c r="AF459681" s="34"/>
    </row>
    <row r="459689" spans="31:32" x14ac:dyDescent="0.25">
      <c r="AE459689" s="36"/>
      <c r="AF459689" s="36"/>
    </row>
    <row r="459785" spans="31:32" x14ac:dyDescent="0.25">
      <c r="AE459785" s="34"/>
      <c r="AF459785" s="34"/>
    </row>
    <row r="459793" spans="31:32" x14ac:dyDescent="0.25">
      <c r="AE459793" s="36"/>
      <c r="AF459793" s="36"/>
    </row>
    <row r="459889" spans="31:32" x14ac:dyDescent="0.25">
      <c r="AE459889" s="34"/>
      <c r="AF459889" s="34"/>
    </row>
    <row r="459897" spans="31:32" x14ac:dyDescent="0.25">
      <c r="AE459897" s="36"/>
      <c r="AF459897" s="36"/>
    </row>
    <row r="459993" spans="31:32" x14ac:dyDescent="0.25">
      <c r="AE459993" s="34"/>
      <c r="AF459993" s="34"/>
    </row>
    <row r="460001" spans="31:32" x14ac:dyDescent="0.25">
      <c r="AE460001" s="36"/>
      <c r="AF460001" s="36"/>
    </row>
    <row r="460097" spans="31:32" x14ac:dyDescent="0.25">
      <c r="AE460097" s="34"/>
      <c r="AF460097" s="34"/>
    </row>
    <row r="460105" spans="31:32" x14ac:dyDescent="0.25">
      <c r="AE460105" s="36"/>
      <c r="AF460105" s="36"/>
    </row>
    <row r="460201" spans="31:32" x14ac:dyDescent="0.25">
      <c r="AE460201" s="34"/>
      <c r="AF460201" s="34"/>
    </row>
    <row r="460209" spans="31:32" x14ac:dyDescent="0.25">
      <c r="AE460209" s="36"/>
      <c r="AF460209" s="36"/>
    </row>
    <row r="460305" spans="31:32" x14ac:dyDescent="0.25">
      <c r="AE460305" s="34"/>
      <c r="AF460305" s="34"/>
    </row>
    <row r="460313" spans="31:32" x14ac:dyDescent="0.25">
      <c r="AE460313" s="36"/>
      <c r="AF460313" s="36"/>
    </row>
    <row r="460409" spans="31:32" x14ac:dyDescent="0.25">
      <c r="AE460409" s="34"/>
      <c r="AF460409" s="34"/>
    </row>
    <row r="460417" spans="31:32" x14ac:dyDescent="0.25">
      <c r="AE460417" s="36"/>
      <c r="AF460417" s="36"/>
    </row>
    <row r="460513" spans="31:32" x14ac:dyDescent="0.25">
      <c r="AE460513" s="34"/>
      <c r="AF460513" s="34"/>
    </row>
    <row r="460521" spans="31:32" x14ac:dyDescent="0.25">
      <c r="AE460521" s="36"/>
      <c r="AF460521" s="36"/>
    </row>
    <row r="460617" spans="31:32" x14ac:dyDescent="0.25">
      <c r="AE460617" s="34"/>
      <c r="AF460617" s="34"/>
    </row>
    <row r="460625" spans="31:32" x14ac:dyDescent="0.25">
      <c r="AE460625" s="36"/>
      <c r="AF460625" s="36"/>
    </row>
    <row r="460721" spans="31:32" x14ac:dyDescent="0.25">
      <c r="AE460721" s="34"/>
      <c r="AF460721" s="34"/>
    </row>
    <row r="460729" spans="31:32" x14ac:dyDescent="0.25">
      <c r="AE460729" s="36"/>
      <c r="AF460729" s="36"/>
    </row>
    <row r="460825" spans="31:32" x14ac:dyDescent="0.25">
      <c r="AE460825" s="34"/>
      <c r="AF460825" s="34"/>
    </row>
    <row r="460833" spans="31:32" x14ac:dyDescent="0.25">
      <c r="AE460833" s="36"/>
      <c r="AF460833" s="36"/>
    </row>
    <row r="460929" spans="31:32" x14ac:dyDescent="0.25">
      <c r="AE460929" s="34"/>
      <c r="AF460929" s="34"/>
    </row>
    <row r="460937" spans="31:32" x14ac:dyDescent="0.25">
      <c r="AE460937" s="36"/>
      <c r="AF460937" s="36"/>
    </row>
    <row r="461033" spans="31:32" x14ac:dyDescent="0.25">
      <c r="AE461033" s="34"/>
      <c r="AF461033" s="34"/>
    </row>
    <row r="461041" spans="31:32" x14ac:dyDescent="0.25">
      <c r="AE461041" s="36"/>
      <c r="AF461041" s="36"/>
    </row>
    <row r="461137" spans="31:32" x14ac:dyDescent="0.25">
      <c r="AE461137" s="34"/>
      <c r="AF461137" s="34"/>
    </row>
    <row r="461145" spans="31:32" x14ac:dyDescent="0.25">
      <c r="AE461145" s="36"/>
      <c r="AF461145" s="36"/>
    </row>
    <row r="461241" spans="31:32" x14ac:dyDescent="0.25">
      <c r="AE461241" s="34"/>
      <c r="AF461241" s="34"/>
    </row>
    <row r="461249" spans="31:32" x14ac:dyDescent="0.25">
      <c r="AE461249" s="36"/>
      <c r="AF461249" s="36"/>
    </row>
    <row r="461345" spans="31:32" x14ac:dyDescent="0.25">
      <c r="AE461345" s="34"/>
      <c r="AF461345" s="34"/>
    </row>
    <row r="461353" spans="31:32" x14ac:dyDescent="0.25">
      <c r="AE461353" s="36"/>
      <c r="AF461353" s="36"/>
    </row>
    <row r="461449" spans="31:32" x14ac:dyDescent="0.25">
      <c r="AE461449" s="34"/>
      <c r="AF461449" s="34"/>
    </row>
    <row r="461457" spans="31:32" x14ac:dyDescent="0.25">
      <c r="AE461457" s="36"/>
      <c r="AF461457" s="36"/>
    </row>
    <row r="461553" spans="31:32" x14ac:dyDescent="0.25">
      <c r="AE461553" s="34"/>
      <c r="AF461553" s="34"/>
    </row>
    <row r="461561" spans="31:32" x14ac:dyDescent="0.25">
      <c r="AE461561" s="36"/>
      <c r="AF461561" s="36"/>
    </row>
    <row r="461657" spans="31:32" x14ac:dyDescent="0.25">
      <c r="AE461657" s="34"/>
      <c r="AF461657" s="34"/>
    </row>
    <row r="461665" spans="31:32" x14ac:dyDescent="0.25">
      <c r="AE461665" s="36"/>
      <c r="AF461665" s="36"/>
    </row>
    <row r="461761" spans="31:32" x14ac:dyDescent="0.25">
      <c r="AE461761" s="34"/>
      <c r="AF461761" s="34"/>
    </row>
    <row r="461769" spans="31:32" x14ac:dyDescent="0.25">
      <c r="AE461769" s="36"/>
      <c r="AF461769" s="36"/>
    </row>
    <row r="461865" spans="31:32" x14ac:dyDescent="0.25">
      <c r="AE461865" s="34"/>
      <c r="AF461865" s="34"/>
    </row>
    <row r="461873" spans="31:32" x14ac:dyDescent="0.25">
      <c r="AE461873" s="36"/>
      <c r="AF461873" s="36"/>
    </row>
    <row r="461969" spans="31:32" x14ac:dyDescent="0.25">
      <c r="AE461969" s="34"/>
      <c r="AF461969" s="34"/>
    </row>
    <row r="461977" spans="31:32" x14ac:dyDescent="0.25">
      <c r="AE461977" s="36"/>
      <c r="AF461977" s="36"/>
    </row>
    <row r="462073" spans="31:32" x14ac:dyDescent="0.25">
      <c r="AE462073" s="34"/>
      <c r="AF462073" s="34"/>
    </row>
    <row r="462081" spans="31:32" x14ac:dyDescent="0.25">
      <c r="AE462081" s="36"/>
      <c r="AF462081" s="36"/>
    </row>
    <row r="462177" spans="31:32" x14ac:dyDescent="0.25">
      <c r="AE462177" s="34"/>
      <c r="AF462177" s="34"/>
    </row>
    <row r="462185" spans="31:32" x14ac:dyDescent="0.25">
      <c r="AE462185" s="36"/>
      <c r="AF462185" s="36"/>
    </row>
    <row r="462281" spans="31:32" x14ac:dyDescent="0.25">
      <c r="AE462281" s="34"/>
      <c r="AF462281" s="34"/>
    </row>
    <row r="462289" spans="31:32" x14ac:dyDescent="0.25">
      <c r="AE462289" s="36"/>
      <c r="AF462289" s="36"/>
    </row>
    <row r="462385" spans="31:32" x14ac:dyDescent="0.25">
      <c r="AE462385" s="34"/>
      <c r="AF462385" s="34"/>
    </row>
    <row r="462393" spans="31:32" x14ac:dyDescent="0.25">
      <c r="AE462393" s="36"/>
      <c r="AF462393" s="36"/>
    </row>
    <row r="462489" spans="31:32" x14ac:dyDescent="0.25">
      <c r="AE462489" s="34"/>
      <c r="AF462489" s="34"/>
    </row>
    <row r="462497" spans="31:32" x14ac:dyDescent="0.25">
      <c r="AE462497" s="36"/>
      <c r="AF462497" s="36"/>
    </row>
    <row r="462593" spans="31:32" x14ac:dyDescent="0.25">
      <c r="AE462593" s="34"/>
      <c r="AF462593" s="34"/>
    </row>
    <row r="462601" spans="31:32" x14ac:dyDescent="0.25">
      <c r="AE462601" s="36"/>
      <c r="AF462601" s="36"/>
    </row>
    <row r="462697" spans="31:32" x14ac:dyDescent="0.25">
      <c r="AE462697" s="34"/>
      <c r="AF462697" s="34"/>
    </row>
    <row r="462705" spans="31:32" x14ac:dyDescent="0.25">
      <c r="AE462705" s="36"/>
      <c r="AF462705" s="36"/>
    </row>
    <row r="462801" spans="31:32" x14ac:dyDescent="0.25">
      <c r="AE462801" s="34"/>
      <c r="AF462801" s="34"/>
    </row>
    <row r="462809" spans="31:32" x14ac:dyDescent="0.25">
      <c r="AE462809" s="36"/>
      <c r="AF462809" s="36"/>
    </row>
    <row r="462905" spans="31:32" x14ac:dyDescent="0.25">
      <c r="AE462905" s="34"/>
      <c r="AF462905" s="34"/>
    </row>
    <row r="462913" spans="31:32" x14ac:dyDescent="0.25">
      <c r="AE462913" s="36"/>
      <c r="AF462913" s="36"/>
    </row>
    <row r="463009" spans="31:32" x14ac:dyDescent="0.25">
      <c r="AE463009" s="34"/>
      <c r="AF463009" s="34"/>
    </row>
    <row r="463017" spans="31:32" x14ac:dyDescent="0.25">
      <c r="AE463017" s="36"/>
      <c r="AF463017" s="36"/>
    </row>
    <row r="463113" spans="31:32" x14ac:dyDescent="0.25">
      <c r="AE463113" s="34"/>
      <c r="AF463113" s="34"/>
    </row>
    <row r="463121" spans="31:32" x14ac:dyDescent="0.25">
      <c r="AE463121" s="36"/>
      <c r="AF463121" s="36"/>
    </row>
    <row r="463217" spans="31:32" x14ac:dyDescent="0.25">
      <c r="AE463217" s="34"/>
      <c r="AF463217" s="34"/>
    </row>
    <row r="463225" spans="31:32" x14ac:dyDescent="0.25">
      <c r="AE463225" s="36"/>
      <c r="AF463225" s="36"/>
    </row>
    <row r="463321" spans="31:32" x14ac:dyDescent="0.25">
      <c r="AE463321" s="34"/>
      <c r="AF463321" s="34"/>
    </row>
    <row r="463329" spans="31:32" x14ac:dyDescent="0.25">
      <c r="AE463329" s="36"/>
      <c r="AF463329" s="36"/>
    </row>
    <row r="463425" spans="31:32" x14ac:dyDescent="0.25">
      <c r="AE463425" s="34"/>
      <c r="AF463425" s="34"/>
    </row>
    <row r="463433" spans="31:32" x14ac:dyDescent="0.25">
      <c r="AE463433" s="36"/>
      <c r="AF463433" s="36"/>
    </row>
    <row r="463529" spans="31:32" x14ac:dyDescent="0.25">
      <c r="AE463529" s="34"/>
      <c r="AF463529" s="34"/>
    </row>
    <row r="463537" spans="31:32" x14ac:dyDescent="0.25">
      <c r="AE463537" s="36"/>
      <c r="AF463537" s="36"/>
    </row>
    <row r="463633" spans="31:32" x14ac:dyDescent="0.25">
      <c r="AE463633" s="34"/>
      <c r="AF463633" s="34"/>
    </row>
    <row r="463641" spans="31:32" x14ac:dyDescent="0.25">
      <c r="AE463641" s="36"/>
      <c r="AF463641" s="36"/>
    </row>
    <row r="463737" spans="31:32" x14ac:dyDescent="0.25">
      <c r="AE463737" s="34"/>
      <c r="AF463737" s="34"/>
    </row>
    <row r="463745" spans="31:32" x14ac:dyDescent="0.25">
      <c r="AE463745" s="36"/>
      <c r="AF463745" s="36"/>
    </row>
    <row r="463841" spans="31:32" x14ac:dyDescent="0.25">
      <c r="AE463841" s="34"/>
      <c r="AF463841" s="34"/>
    </row>
    <row r="463849" spans="31:32" x14ac:dyDescent="0.25">
      <c r="AE463849" s="36"/>
      <c r="AF463849" s="36"/>
    </row>
    <row r="463945" spans="31:32" x14ac:dyDescent="0.25">
      <c r="AE463945" s="34"/>
      <c r="AF463945" s="34"/>
    </row>
    <row r="463953" spans="31:32" x14ac:dyDescent="0.25">
      <c r="AE463953" s="36"/>
      <c r="AF463953" s="36"/>
    </row>
    <row r="464049" spans="31:32" x14ac:dyDescent="0.25">
      <c r="AE464049" s="34"/>
      <c r="AF464049" s="34"/>
    </row>
    <row r="464057" spans="31:32" x14ac:dyDescent="0.25">
      <c r="AE464057" s="36"/>
      <c r="AF464057" s="36"/>
    </row>
    <row r="464153" spans="31:32" x14ac:dyDescent="0.25">
      <c r="AE464153" s="34"/>
      <c r="AF464153" s="34"/>
    </row>
    <row r="464161" spans="31:32" x14ac:dyDescent="0.25">
      <c r="AE464161" s="36"/>
      <c r="AF464161" s="36"/>
    </row>
    <row r="464257" spans="31:32" x14ac:dyDescent="0.25">
      <c r="AE464257" s="34"/>
      <c r="AF464257" s="34"/>
    </row>
    <row r="464265" spans="31:32" x14ac:dyDescent="0.25">
      <c r="AE464265" s="36"/>
      <c r="AF464265" s="36"/>
    </row>
    <row r="464361" spans="31:32" x14ac:dyDescent="0.25">
      <c r="AE464361" s="34"/>
      <c r="AF464361" s="34"/>
    </row>
    <row r="464369" spans="31:32" x14ac:dyDescent="0.25">
      <c r="AE464369" s="36"/>
      <c r="AF464369" s="36"/>
    </row>
    <row r="464465" spans="31:32" x14ac:dyDescent="0.25">
      <c r="AE464465" s="34"/>
      <c r="AF464465" s="34"/>
    </row>
    <row r="464473" spans="31:32" x14ac:dyDescent="0.25">
      <c r="AE464473" s="36"/>
      <c r="AF464473" s="36"/>
    </row>
    <row r="464569" spans="31:32" x14ac:dyDescent="0.25">
      <c r="AE464569" s="34"/>
      <c r="AF464569" s="34"/>
    </row>
    <row r="464577" spans="31:32" x14ac:dyDescent="0.25">
      <c r="AE464577" s="36"/>
      <c r="AF464577" s="36"/>
    </row>
    <row r="464673" spans="31:32" x14ac:dyDescent="0.25">
      <c r="AE464673" s="34"/>
      <c r="AF464673" s="34"/>
    </row>
    <row r="464681" spans="31:32" x14ac:dyDescent="0.25">
      <c r="AE464681" s="36"/>
      <c r="AF464681" s="36"/>
    </row>
    <row r="464777" spans="31:32" x14ac:dyDescent="0.25">
      <c r="AE464777" s="34"/>
      <c r="AF464777" s="34"/>
    </row>
    <row r="464785" spans="31:32" x14ac:dyDescent="0.25">
      <c r="AE464785" s="36"/>
      <c r="AF464785" s="36"/>
    </row>
    <row r="464881" spans="31:32" x14ac:dyDescent="0.25">
      <c r="AE464881" s="34"/>
      <c r="AF464881" s="34"/>
    </row>
    <row r="464889" spans="31:32" x14ac:dyDescent="0.25">
      <c r="AE464889" s="36"/>
      <c r="AF464889" s="36"/>
    </row>
    <row r="464985" spans="31:32" x14ac:dyDescent="0.25">
      <c r="AE464985" s="34"/>
      <c r="AF464985" s="34"/>
    </row>
    <row r="464993" spans="31:32" x14ac:dyDescent="0.25">
      <c r="AE464993" s="36"/>
      <c r="AF464993" s="36"/>
    </row>
    <row r="465089" spans="31:32" x14ac:dyDescent="0.25">
      <c r="AE465089" s="34"/>
      <c r="AF465089" s="34"/>
    </row>
    <row r="465097" spans="31:32" x14ac:dyDescent="0.25">
      <c r="AE465097" s="36"/>
      <c r="AF465097" s="36"/>
    </row>
    <row r="465193" spans="31:32" x14ac:dyDescent="0.25">
      <c r="AE465193" s="34"/>
      <c r="AF465193" s="34"/>
    </row>
    <row r="465201" spans="31:32" x14ac:dyDescent="0.25">
      <c r="AE465201" s="36"/>
      <c r="AF465201" s="36"/>
    </row>
    <row r="465297" spans="31:32" x14ac:dyDescent="0.25">
      <c r="AE465297" s="34"/>
      <c r="AF465297" s="34"/>
    </row>
    <row r="465305" spans="31:32" x14ac:dyDescent="0.25">
      <c r="AE465305" s="36"/>
      <c r="AF465305" s="36"/>
    </row>
    <row r="465401" spans="31:32" x14ac:dyDescent="0.25">
      <c r="AE465401" s="34"/>
      <c r="AF465401" s="34"/>
    </row>
    <row r="465409" spans="31:32" x14ac:dyDescent="0.25">
      <c r="AE465409" s="36"/>
      <c r="AF465409" s="36"/>
    </row>
    <row r="465505" spans="31:32" x14ac:dyDescent="0.25">
      <c r="AE465505" s="34"/>
      <c r="AF465505" s="34"/>
    </row>
    <row r="465513" spans="31:32" x14ac:dyDescent="0.25">
      <c r="AE465513" s="36"/>
      <c r="AF465513" s="36"/>
    </row>
    <row r="465609" spans="31:32" x14ac:dyDescent="0.25">
      <c r="AE465609" s="34"/>
      <c r="AF465609" s="34"/>
    </row>
    <row r="465617" spans="31:32" x14ac:dyDescent="0.25">
      <c r="AE465617" s="36"/>
      <c r="AF465617" s="36"/>
    </row>
    <row r="465713" spans="31:32" x14ac:dyDescent="0.25">
      <c r="AE465713" s="34"/>
      <c r="AF465713" s="34"/>
    </row>
    <row r="465721" spans="31:32" x14ac:dyDescent="0.25">
      <c r="AE465721" s="36"/>
      <c r="AF465721" s="36"/>
    </row>
    <row r="465817" spans="31:32" x14ac:dyDescent="0.25">
      <c r="AE465817" s="34"/>
      <c r="AF465817" s="34"/>
    </row>
    <row r="465825" spans="31:32" x14ac:dyDescent="0.25">
      <c r="AE465825" s="36"/>
      <c r="AF465825" s="36"/>
    </row>
    <row r="465921" spans="31:32" x14ac:dyDescent="0.25">
      <c r="AE465921" s="34"/>
      <c r="AF465921" s="34"/>
    </row>
    <row r="465929" spans="31:32" x14ac:dyDescent="0.25">
      <c r="AE465929" s="36"/>
      <c r="AF465929" s="36"/>
    </row>
    <row r="466025" spans="31:32" x14ac:dyDescent="0.25">
      <c r="AE466025" s="34"/>
      <c r="AF466025" s="34"/>
    </row>
    <row r="466033" spans="31:32" x14ac:dyDescent="0.25">
      <c r="AE466033" s="36"/>
      <c r="AF466033" s="36"/>
    </row>
    <row r="466129" spans="31:32" x14ac:dyDescent="0.25">
      <c r="AE466129" s="34"/>
      <c r="AF466129" s="34"/>
    </row>
    <row r="466137" spans="31:32" x14ac:dyDescent="0.25">
      <c r="AE466137" s="36"/>
      <c r="AF466137" s="36"/>
    </row>
    <row r="466233" spans="31:32" x14ac:dyDescent="0.25">
      <c r="AE466233" s="34"/>
      <c r="AF466233" s="34"/>
    </row>
    <row r="466241" spans="31:32" x14ac:dyDescent="0.25">
      <c r="AE466241" s="36"/>
      <c r="AF466241" s="36"/>
    </row>
    <row r="466337" spans="31:32" x14ac:dyDescent="0.25">
      <c r="AE466337" s="34"/>
      <c r="AF466337" s="34"/>
    </row>
    <row r="466345" spans="31:32" x14ac:dyDescent="0.25">
      <c r="AE466345" s="36"/>
      <c r="AF466345" s="36"/>
    </row>
    <row r="466441" spans="31:32" x14ac:dyDescent="0.25">
      <c r="AE466441" s="34"/>
      <c r="AF466441" s="34"/>
    </row>
    <row r="466449" spans="31:32" x14ac:dyDescent="0.25">
      <c r="AE466449" s="36"/>
      <c r="AF466449" s="36"/>
    </row>
    <row r="466545" spans="31:32" x14ac:dyDescent="0.25">
      <c r="AE466545" s="34"/>
      <c r="AF466545" s="34"/>
    </row>
    <row r="466553" spans="31:32" x14ac:dyDescent="0.25">
      <c r="AE466553" s="36"/>
      <c r="AF466553" s="36"/>
    </row>
    <row r="466649" spans="31:32" x14ac:dyDescent="0.25">
      <c r="AE466649" s="34"/>
      <c r="AF466649" s="34"/>
    </row>
    <row r="466657" spans="31:32" x14ac:dyDescent="0.25">
      <c r="AE466657" s="36"/>
      <c r="AF466657" s="36"/>
    </row>
    <row r="466753" spans="31:32" x14ac:dyDescent="0.25">
      <c r="AE466753" s="34"/>
      <c r="AF466753" s="34"/>
    </row>
    <row r="466761" spans="31:32" x14ac:dyDescent="0.25">
      <c r="AE466761" s="36"/>
      <c r="AF466761" s="36"/>
    </row>
    <row r="466857" spans="31:32" x14ac:dyDescent="0.25">
      <c r="AE466857" s="34"/>
      <c r="AF466857" s="34"/>
    </row>
    <row r="466865" spans="31:32" x14ac:dyDescent="0.25">
      <c r="AE466865" s="36"/>
      <c r="AF466865" s="36"/>
    </row>
    <row r="466961" spans="31:32" x14ac:dyDescent="0.25">
      <c r="AE466961" s="34"/>
      <c r="AF466961" s="34"/>
    </row>
    <row r="466969" spans="31:32" x14ac:dyDescent="0.25">
      <c r="AE466969" s="36"/>
      <c r="AF466969" s="36"/>
    </row>
    <row r="467065" spans="31:32" x14ac:dyDescent="0.25">
      <c r="AE467065" s="34"/>
      <c r="AF467065" s="34"/>
    </row>
    <row r="467073" spans="31:32" x14ac:dyDescent="0.25">
      <c r="AE467073" s="36"/>
      <c r="AF467073" s="36"/>
    </row>
    <row r="467169" spans="31:32" x14ac:dyDescent="0.25">
      <c r="AE467169" s="34"/>
      <c r="AF467169" s="34"/>
    </row>
    <row r="467177" spans="31:32" x14ac:dyDescent="0.25">
      <c r="AE467177" s="36"/>
      <c r="AF467177" s="36"/>
    </row>
    <row r="467273" spans="31:32" x14ac:dyDescent="0.25">
      <c r="AE467273" s="34"/>
      <c r="AF467273" s="34"/>
    </row>
    <row r="467281" spans="31:32" x14ac:dyDescent="0.25">
      <c r="AE467281" s="36"/>
      <c r="AF467281" s="36"/>
    </row>
    <row r="467377" spans="31:32" x14ac:dyDescent="0.25">
      <c r="AE467377" s="34"/>
      <c r="AF467377" s="34"/>
    </row>
    <row r="467385" spans="31:32" x14ac:dyDescent="0.25">
      <c r="AE467385" s="36"/>
      <c r="AF467385" s="36"/>
    </row>
    <row r="467481" spans="31:32" x14ac:dyDescent="0.25">
      <c r="AE467481" s="34"/>
      <c r="AF467481" s="34"/>
    </row>
    <row r="467489" spans="31:32" x14ac:dyDescent="0.25">
      <c r="AE467489" s="36"/>
      <c r="AF467489" s="36"/>
    </row>
    <row r="467585" spans="31:32" x14ac:dyDescent="0.25">
      <c r="AE467585" s="34"/>
      <c r="AF467585" s="34"/>
    </row>
    <row r="467593" spans="31:32" x14ac:dyDescent="0.25">
      <c r="AE467593" s="36"/>
      <c r="AF467593" s="36"/>
    </row>
    <row r="467689" spans="31:32" x14ac:dyDescent="0.25">
      <c r="AE467689" s="34"/>
      <c r="AF467689" s="34"/>
    </row>
    <row r="467697" spans="31:32" x14ac:dyDescent="0.25">
      <c r="AE467697" s="36"/>
      <c r="AF467697" s="36"/>
    </row>
    <row r="467793" spans="31:32" x14ac:dyDescent="0.25">
      <c r="AE467793" s="34"/>
      <c r="AF467793" s="34"/>
    </row>
    <row r="467801" spans="31:32" x14ac:dyDescent="0.25">
      <c r="AE467801" s="36"/>
      <c r="AF467801" s="36"/>
    </row>
    <row r="467897" spans="31:32" x14ac:dyDescent="0.25">
      <c r="AE467897" s="34"/>
      <c r="AF467897" s="34"/>
    </row>
    <row r="467905" spans="31:32" x14ac:dyDescent="0.25">
      <c r="AE467905" s="36"/>
      <c r="AF467905" s="36"/>
    </row>
    <row r="468001" spans="31:32" x14ac:dyDescent="0.25">
      <c r="AE468001" s="34"/>
      <c r="AF468001" s="34"/>
    </row>
    <row r="468009" spans="31:32" x14ac:dyDescent="0.25">
      <c r="AE468009" s="36"/>
      <c r="AF468009" s="36"/>
    </row>
    <row r="468105" spans="31:32" x14ac:dyDescent="0.25">
      <c r="AE468105" s="34"/>
      <c r="AF468105" s="34"/>
    </row>
    <row r="468113" spans="31:32" x14ac:dyDescent="0.25">
      <c r="AE468113" s="36"/>
      <c r="AF468113" s="36"/>
    </row>
    <row r="468209" spans="31:32" x14ac:dyDescent="0.25">
      <c r="AE468209" s="34"/>
      <c r="AF468209" s="34"/>
    </row>
    <row r="468217" spans="31:32" x14ac:dyDescent="0.25">
      <c r="AE468217" s="36"/>
      <c r="AF468217" s="36"/>
    </row>
    <row r="468313" spans="31:32" x14ac:dyDescent="0.25">
      <c r="AE468313" s="34"/>
      <c r="AF468313" s="34"/>
    </row>
    <row r="468321" spans="31:32" x14ac:dyDescent="0.25">
      <c r="AE468321" s="36"/>
      <c r="AF468321" s="36"/>
    </row>
    <row r="468417" spans="31:32" x14ac:dyDescent="0.25">
      <c r="AE468417" s="34"/>
      <c r="AF468417" s="34"/>
    </row>
    <row r="468425" spans="31:32" x14ac:dyDescent="0.25">
      <c r="AE468425" s="36"/>
      <c r="AF468425" s="36"/>
    </row>
    <row r="468521" spans="31:32" x14ac:dyDescent="0.25">
      <c r="AE468521" s="34"/>
      <c r="AF468521" s="34"/>
    </row>
    <row r="468529" spans="31:32" x14ac:dyDescent="0.25">
      <c r="AE468529" s="36"/>
      <c r="AF468529" s="36"/>
    </row>
    <row r="468625" spans="31:32" x14ac:dyDescent="0.25">
      <c r="AE468625" s="34"/>
      <c r="AF468625" s="34"/>
    </row>
    <row r="468633" spans="31:32" x14ac:dyDescent="0.25">
      <c r="AE468633" s="36"/>
      <c r="AF468633" s="36"/>
    </row>
    <row r="468729" spans="31:32" x14ac:dyDescent="0.25">
      <c r="AE468729" s="34"/>
      <c r="AF468729" s="34"/>
    </row>
    <row r="468737" spans="31:32" x14ac:dyDescent="0.25">
      <c r="AE468737" s="36"/>
      <c r="AF468737" s="36"/>
    </row>
    <row r="468833" spans="31:32" x14ac:dyDescent="0.25">
      <c r="AE468833" s="34"/>
      <c r="AF468833" s="34"/>
    </row>
    <row r="468841" spans="31:32" x14ac:dyDescent="0.25">
      <c r="AE468841" s="36"/>
      <c r="AF468841" s="36"/>
    </row>
    <row r="468937" spans="31:32" x14ac:dyDescent="0.25">
      <c r="AE468937" s="34"/>
      <c r="AF468937" s="34"/>
    </row>
    <row r="468945" spans="31:32" x14ac:dyDescent="0.25">
      <c r="AE468945" s="36"/>
      <c r="AF468945" s="36"/>
    </row>
    <row r="469041" spans="31:32" x14ac:dyDescent="0.25">
      <c r="AE469041" s="34"/>
      <c r="AF469041" s="34"/>
    </row>
    <row r="469049" spans="31:32" x14ac:dyDescent="0.25">
      <c r="AE469049" s="36"/>
      <c r="AF469049" s="36"/>
    </row>
    <row r="469145" spans="31:32" x14ac:dyDescent="0.25">
      <c r="AE469145" s="34"/>
      <c r="AF469145" s="34"/>
    </row>
    <row r="469153" spans="31:32" x14ac:dyDescent="0.25">
      <c r="AE469153" s="36"/>
      <c r="AF469153" s="36"/>
    </row>
    <row r="469249" spans="31:32" x14ac:dyDescent="0.25">
      <c r="AE469249" s="34"/>
      <c r="AF469249" s="34"/>
    </row>
    <row r="469257" spans="31:32" x14ac:dyDescent="0.25">
      <c r="AE469257" s="36"/>
      <c r="AF469257" s="36"/>
    </row>
    <row r="469353" spans="31:32" x14ac:dyDescent="0.25">
      <c r="AE469353" s="34"/>
      <c r="AF469353" s="34"/>
    </row>
    <row r="469361" spans="31:32" x14ac:dyDescent="0.25">
      <c r="AE469361" s="36"/>
      <c r="AF469361" s="36"/>
    </row>
    <row r="469457" spans="31:32" x14ac:dyDescent="0.25">
      <c r="AE469457" s="34"/>
      <c r="AF469457" s="34"/>
    </row>
    <row r="469465" spans="31:32" x14ac:dyDescent="0.25">
      <c r="AE469465" s="36"/>
      <c r="AF469465" s="36"/>
    </row>
    <row r="469561" spans="31:32" x14ac:dyDescent="0.25">
      <c r="AE469561" s="34"/>
      <c r="AF469561" s="34"/>
    </row>
    <row r="469569" spans="31:32" x14ac:dyDescent="0.25">
      <c r="AE469569" s="36"/>
      <c r="AF469569" s="36"/>
    </row>
    <row r="469665" spans="31:32" x14ac:dyDescent="0.25">
      <c r="AE469665" s="34"/>
      <c r="AF469665" s="34"/>
    </row>
    <row r="469673" spans="31:32" x14ac:dyDescent="0.25">
      <c r="AE469673" s="36"/>
      <c r="AF469673" s="36"/>
    </row>
    <row r="469769" spans="31:32" x14ac:dyDescent="0.25">
      <c r="AE469769" s="34"/>
      <c r="AF469769" s="34"/>
    </row>
    <row r="469777" spans="31:32" x14ac:dyDescent="0.25">
      <c r="AE469777" s="36"/>
      <c r="AF469777" s="36"/>
    </row>
    <row r="469873" spans="31:32" x14ac:dyDescent="0.25">
      <c r="AE469873" s="34"/>
      <c r="AF469873" s="34"/>
    </row>
    <row r="469881" spans="31:32" x14ac:dyDescent="0.25">
      <c r="AE469881" s="36"/>
      <c r="AF469881" s="36"/>
    </row>
    <row r="469977" spans="31:32" x14ac:dyDescent="0.25">
      <c r="AE469977" s="34"/>
      <c r="AF469977" s="34"/>
    </row>
    <row r="469985" spans="31:32" x14ac:dyDescent="0.25">
      <c r="AE469985" s="36"/>
      <c r="AF469985" s="36"/>
    </row>
    <row r="470081" spans="31:32" x14ac:dyDescent="0.25">
      <c r="AE470081" s="34"/>
      <c r="AF470081" s="34"/>
    </row>
    <row r="470089" spans="31:32" x14ac:dyDescent="0.25">
      <c r="AE470089" s="36"/>
      <c r="AF470089" s="36"/>
    </row>
    <row r="470185" spans="31:32" x14ac:dyDescent="0.25">
      <c r="AE470185" s="34"/>
      <c r="AF470185" s="34"/>
    </row>
    <row r="470193" spans="31:32" x14ac:dyDescent="0.25">
      <c r="AE470193" s="36"/>
      <c r="AF470193" s="36"/>
    </row>
    <row r="470289" spans="31:32" x14ac:dyDescent="0.25">
      <c r="AE470289" s="34"/>
      <c r="AF470289" s="34"/>
    </row>
    <row r="470297" spans="31:32" x14ac:dyDescent="0.25">
      <c r="AE470297" s="36"/>
      <c r="AF470297" s="36"/>
    </row>
    <row r="470393" spans="31:32" x14ac:dyDescent="0.25">
      <c r="AE470393" s="34"/>
      <c r="AF470393" s="34"/>
    </row>
    <row r="470401" spans="31:32" x14ac:dyDescent="0.25">
      <c r="AE470401" s="36"/>
      <c r="AF470401" s="36"/>
    </row>
    <row r="470497" spans="31:32" x14ac:dyDescent="0.25">
      <c r="AE470497" s="34"/>
      <c r="AF470497" s="34"/>
    </row>
    <row r="470505" spans="31:32" x14ac:dyDescent="0.25">
      <c r="AE470505" s="36"/>
      <c r="AF470505" s="36"/>
    </row>
    <row r="470601" spans="31:32" x14ac:dyDescent="0.25">
      <c r="AE470601" s="34"/>
      <c r="AF470601" s="34"/>
    </row>
    <row r="470609" spans="31:32" x14ac:dyDescent="0.25">
      <c r="AE470609" s="36"/>
      <c r="AF470609" s="36"/>
    </row>
    <row r="470705" spans="31:32" x14ac:dyDescent="0.25">
      <c r="AE470705" s="34"/>
      <c r="AF470705" s="34"/>
    </row>
    <row r="470713" spans="31:32" x14ac:dyDescent="0.25">
      <c r="AE470713" s="36"/>
      <c r="AF470713" s="36"/>
    </row>
    <row r="470809" spans="31:32" x14ac:dyDescent="0.25">
      <c r="AE470809" s="34"/>
      <c r="AF470809" s="34"/>
    </row>
    <row r="470817" spans="31:32" x14ac:dyDescent="0.25">
      <c r="AE470817" s="36"/>
      <c r="AF470817" s="36"/>
    </row>
    <row r="470913" spans="31:32" x14ac:dyDescent="0.25">
      <c r="AE470913" s="34"/>
      <c r="AF470913" s="34"/>
    </row>
    <row r="470921" spans="31:32" x14ac:dyDescent="0.25">
      <c r="AE470921" s="36"/>
      <c r="AF470921" s="36"/>
    </row>
    <row r="471017" spans="31:32" x14ac:dyDescent="0.25">
      <c r="AE471017" s="34"/>
      <c r="AF471017" s="34"/>
    </row>
    <row r="471025" spans="31:32" x14ac:dyDescent="0.25">
      <c r="AE471025" s="36"/>
      <c r="AF471025" s="36"/>
    </row>
    <row r="471121" spans="31:32" x14ac:dyDescent="0.25">
      <c r="AE471121" s="34"/>
      <c r="AF471121" s="34"/>
    </row>
    <row r="471129" spans="31:32" x14ac:dyDescent="0.25">
      <c r="AE471129" s="36"/>
      <c r="AF471129" s="36"/>
    </row>
    <row r="471225" spans="31:32" x14ac:dyDescent="0.25">
      <c r="AE471225" s="34"/>
      <c r="AF471225" s="34"/>
    </row>
    <row r="471233" spans="31:32" x14ac:dyDescent="0.25">
      <c r="AE471233" s="36"/>
      <c r="AF471233" s="36"/>
    </row>
    <row r="471329" spans="31:32" x14ac:dyDescent="0.25">
      <c r="AE471329" s="34"/>
      <c r="AF471329" s="34"/>
    </row>
    <row r="471337" spans="31:32" x14ac:dyDescent="0.25">
      <c r="AE471337" s="36"/>
      <c r="AF471337" s="36"/>
    </row>
    <row r="471433" spans="31:32" x14ac:dyDescent="0.25">
      <c r="AE471433" s="34"/>
      <c r="AF471433" s="34"/>
    </row>
    <row r="471441" spans="31:32" x14ac:dyDescent="0.25">
      <c r="AE471441" s="36"/>
      <c r="AF471441" s="36"/>
    </row>
    <row r="471537" spans="31:32" x14ac:dyDescent="0.25">
      <c r="AE471537" s="34"/>
      <c r="AF471537" s="34"/>
    </row>
    <row r="471545" spans="31:32" x14ac:dyDescent="0.25">
      <c r="AE471545" s="36"/>
      <c r="AF471545" s="36"/>
    </row>
    <row r="471641" spans="31:32" x14ac:dyDescent="0.25">
      <c r="AE471641" s="34"/>
      <c r="AF471641" s="34"/>
    </row>
    <row r="471649" spans="31:32" x14ac:dyDescent="0.25">
      <c r="AE471649" s="36"/>
      <c r="AF471649" s="36"/>
    </row>
    <row r="471745" spans="31:32" x14ac:dyDescent="0.25">
      <c r="AE471745" s="34"/>
      <c r="AF471745" s="34"/>
    </row>
    <row r="471753" spans="31:32" x14ac:dyDescent="0.25">
      <c r="AE471753" s="36"/>
      <c r="AF471753" s="36"/>
    </row>
    <row r="471849" spans="31:32" x14ac:dyDescent="0.25">
      <c r="AE471849" s="34"/>
      <c r="AF471849" s="34"/>
    </row>
    <row r="471857" spans="31:32" x14ac:dyDescent="0.25">
      <c r="AE471857" s="36"/>
      <c r="AF471857" s="36"/>
    </row>
    <row r="471953" spans="31:32" x14ac:dyDescent="0.25">
      <c r="AE471953" s="34"/>
      <c r="AF471953" s="34"/>
    </row>
    <row r="471961" spans="31:32" x14ac:dyDescent="0.25">
      <c r="AE471961" s="36"/>
      <c r="AF471961" s="36"/>
    </row>
    <row r="472057" spans="31:32" x14ac:dyDescent="0.25">
      <c r="AE472057" s="34"/>
      <c r="AF472057" s="34"/>
    </row>
    <row r="472065" spans="31:32" x14ac:dyDescent="0.25">
      <c r="AE472065" s="36"/>
      <c r="AF472065" s="36"/>
    </row>
    <row r="472161" spans="31:32" x14ac:dyDescent="0.25">
      <c r="AE472161" s="34"/>
      <c r="AF472161" s="34"/>
    </row>
    <row r="472169" spans="31:32" x14ac:dyDescent="0.25">
      <c r="AE472169" s="36"/>
      <c r="AF472169" s="36"/>
    </row>
    <row r="472265" spans="31:32" x14ac:dyDescent="0.25">
      <c r="AE472265" s="34"/>
      <c r="AF472265" s="34"/>
    </row>
    <row r="472273" spans="31:32" x14ac:dyDescent="0.25">
      <c r="AE472273" s="36"/>
      <c r="AF472273" s="36"/>
    </row>
    <row r="472369" spans="31:32" x14ac:dyDescent="0.25">
      <c r="AE472369" s="34"/>
      <c r="AF472369" s="34"/>
    </row>
    <row r="472377" spans="31:32" x14ac:dyDescent="0.25">
      <c r="AE472377" s="36"/>
      <c r="AF472377" s="36"/>
    </row>
    <row r="472473" spans="31:32" x14ac:dyDescent="0.25">
      <c r="AE472473" s="34"/>
      <c r="AF472473" s="34"/>
    </row>
    <row r="472481" spans="31:32" x14ac:dyDescent="0.25">
      <c r="AE472481" s="36"/>
      <c r="AF472481" s="36"/>
    </row>
    <row r="472577" spans="31:32" x14ac:dyDescent="0.25">
      <c r="AE472577" s="34"/>
      <c r="AF472577" s="34"/>
    </row>
    <row r="472585" spans="31:32" x14ac:dyDescent="0.25">
      <c r="AE472585" s="36"/>
      <c r="AF472585" s="36"/>
    </row>
    <row r="472681" spans="31:32" x14ac:dyDescent="0.25">
      <c r="AE472681" s="34"/>
      <c r="AF472681" s="34"/>
    </row>
    <row r="472689" spans="31:32" x14ac:dyDescent="0.25">
      <c r="AE472689" s="36"/>
      <c r="AF472689" s="36"/>
    </row>
    <row r="472785" spans="31:32" x14ac:dyDescent="0.25">
      <c r="AE472785" s="34"/>
      <c r="AF472785" s="34"/>
    </row>
    <row r="472793" spans="31:32" x14ac:dyDescent="0.25">
      <c r="AE472793" s="36"/>
      <c r="AF472793" s="36"/>
    </row>
    <row r="472889" spans="31:32" x14ac:dyDescent="0.25">
      <c r="AE472889" s="34"/>
      <c r="AF472889" s="34"/>
    </row>
    <row r="472897" spans="31:32" x14ac:dyDescent="0.25">
      <c r="AE472897" s="36"/>
      <c r="AF472897" s="36"/>
    </row>
    <row r="472993" spans="31:32" x14ac:dyDescent="0.25">
      <c r="AE472993" s="34"/>
      <c r="AF472993" s="34"/>
    </row>
    <row r="473001" spans="31:32" x14ac:dyDescent="0.25">
      <c r="AE473001" s="36"/>
      <c r="AF473001" s="36"/>
    </row>
    <row r="473097" spans="31:32" x14ac:dyDescent="0.25">
      <c r="AE473097" s="34"/>
      <c r="AF473097" s="34"/>
    </row>
    <row r="473105" spans="31:32" x14ac:dyDescent="0.25">
      <c r="AE473105" s="36"/>
      <c r="AF473105" s="36"/>
    </row>
    <row r="473201" spans="31:32" x14ac:dyDescent="0.25">
      <c r="AE473201" s="34"/>
      <c r="AF473201" s="34"/>
    </row>
    <row r="473209" spans="31:32" x14ac:dyDescent="0.25">
      <c r="AE473209" s="36"/>
      <c r="AF473209" s="36"/>
    </row>
    <row r="473305" spans="31:32" x14ac:dyDescent="0.25">
      <c r="AE473305" s="34"/>
      <c r="AF473305" s="34"/>
    </row>
    <row r="473313" spans="31:32" x14ac:dyDescent="0.25">
      <c r="AE473313" s="36"/>
      <c r="AF473313" s="36"/>
    </row>
    <row r="473409" spans="31:32" x14ac:dyDescent="0.25">
      <c r="AE473409" s="34"/>
      <c r="AF473409" s="34"/>
    </row>
    <row r="473417" spans="31:32" x14ac:dyDescent="0.25">
      <c r="AE473417" s="36"/>
      <c r="AF473417" s="36"/>
    </row>
    <row r="473513" spans="31:32" x14ac:dyDescent="0.25">
      <c r="AE473513" s="34"/>
      <c r="AF473513" s="34"/>
    </row>
    <row r="473521" spans="31:32" x14ac:dyDescent="0.25">
      <c r="AE473521" s="36"/>
      <c r="AF473521" s="36"/>
    </row>
    <row r="473617" spans="31:32" x14ac:dyDescent="0.25">
      <c r="AE473617" s="34"/>
      <c r="AF473617" s="34"/>
    </row>
    <row r="473625" spans="31:32" x14ac:dyDescent="0.25">
      <c r="AE473625" s="36"/>
      <c r="AF473625" s="36"/>
    </row>
    <row r="473721" spans="31:32" x14ac:dyDescent="0.25">
      <c r="AE473721" s="34"/>
      <c r="AF473721" s="34"/>
    </row>
    <row r="473729" spans="31:32" x14ac:dyDescent="0.25">
      <c r="AE473729" s="36"/>
      <c r="AF473729" s="36"/>
    </row>
    <row r="473825" spans="31:32" x14ac:dyDescent="0.25">
      <c r="AE473825" s="34"/>
      <c r="AF473825" s="34"/>
    </row>
    <row r="473833" spans="31:32" x14ac:dyDescent="0.25">
      <c r="AE473833" s="36"/>
      <c r="AF473833" s="36"/>
    </row>
    <row r="473929" spans="31:32" x14ac:dyDescent="0.25">
      <c r="AE473929" s="34"/>
      <c r="AF473929" s="34"/>
    </row>
    <row r="473937" spans="31:32" x14ac:dyDescent="0.25">
      <c r="AE473937" s="36"/>
      <c r="AF473937" s="36"/>
    </row>
    <row r="474033" spans="31:32" x14ac:dyDescent="0.25">
      <c r="AE474033" s="34"/>
      <c r="AF474033" s="34"/>
    </row>
    <row r="474041" spans="31:32" x14ac:dyDescent="0.25">
      <c r="AE474041" s="36"/>
      <c r="AF474041" s="36"/>
    </row>
    <row r="474137" spans="31:32" x14ac:dyDescent="0.25">
      <c r="AE474137" s="34"/>
      <c r="AF474137" s="34"/>
    </row>
    <row r="474145" spans="31:32" x14ac:dyDescent="0.25">
      <c r="AE474145" s="36"/>
      <c r="AF474145" s="36"/>
    </row>
    <row r="474241" spans="31:32" x14ac:dyDescent="0.25">
      <c r="AE474241" s="34"/>
      <c r="AF474241" s="34"/>
    </row>
    <row r="474249" spans="31:32" x14ac:dyDescent="0.25">
      <c r="AE474249" s="36"/>
      <c r="AF474249" s="36"/>
    </row>
    <row r="474345" spans="31:32" x14ac:dyDescent="0.25">
      <c r="AE474345" s="34"/>
      <c r="AF474345" s="34"/>
    </row>
    <row r="474353" spans="31:32" x14ac:dyDescent="0.25">
      <c r="AE474353" s="36"/>
      <c r="AF474353" s="36"/>
    </row>
    <row r="474449" spans="31:32" x14ac:dyDescent="0.25">
      <c r="AE474449" s="34"/>
      <c r="AF474449" s="34"/>
    </row>
    <row r="474457" spans="31:32" x14ac:dyDescent="0.25">
      <c r="AE474457" s="36"/>
      <c r="AF474457" s="36"/>
    </row>
    <row r="474553" spans="31:32" x14ac:dyDescent="0.25">
      <c r="AE474553" s="34"/>
      <c r="AF474553" s="34"/>
    </row>
    <row r="474561" spans="31:32" x14ac:dyDescent="0.25">
      <c r="AE474561" s="36"/>
      <c r="AF474561" s="36"/>
    </row>
    <row r="474657" spans="31:32" x14ac:dyDescent="0.25">
      <c r="AE474657" s="34"/>
      <c r="AF474657" s="34"/>
    </row>
    <row r="474665" spans="31:32" x14ac:dyDescent="0.25">
      <c r="AE474665" s="36"/>
      <c r="AF474665" s="36"/>
    </row>
    <row r="474761" spans="31:32" x14ac:dyDescent="0.25">
      <c r="AE474761" s="34"/>
      <c r="AF474761" s="34"/>
    </row>
    <row r="474769" spans="31:32" x14ac:dyDescent="0.25">
      <c r="AE474769" s="36"/>
      <c r="AF474769" s="36"/>
    </row>
    <row r="474865" spans="31:32" x14ac:dyDescent="0.25">
      <c r="AE474865" s="34"/>
      <c r="AF474865" s="34"/>
    </row>
    <row r="474873" spans="31:32" x14ac:dyDescent="0.25">
      <c r="AE474873" s="36"/>
      <c r="AF474873" s="36"/>
    </row>
    <row r="474969" spans="31:32" x14ac:dyDescent="0.25">
      <c r="AE474969" s="34"/>
      <c r="AF474969" s="34"/>
    </row>
    <row r="474977" spans="31:32" x14ac:dyDescent="0.25">
      <c r="AE474977" s="36"/>
      <c r="AF474977" s="36"/>
    </row>
    <row r="475073" spans="31:32" x14ac:dyDescent="0.25">
      <c r="AE475073" s="34"/>
      <c r="AF475073" s="34"/>
    </row>
    <row r="475081" spans="31:32" x14ac:dyDescent="0.25">
      <c r="AE475081" s="36"/>
      <c r="AF475081" s="36"/>
    </row>
    <row r="475177" spans="31:32" x14ac:dyDescent="0.25">
      <c r="AE475177" s="34"/>
      <c r="AF475177" s="34"/>
    </row>
    <row r="475185" spans="31:32" x14ac:dyDescent="0.25">
      <c r="AE475185" s="36"/>
      <c r="AF475185" s="36"/>
    </row>
    <row r="475281" spans="31:32" x14ac:dyDescent="0.25">
      <c r="AE475281" s="34"/>
      <c r="AF475281" s="34"/>
    </row>
    <row r="475289" spans="31:32" x14ac:dyDescent="0.25">
      <c r="AE475289" s="36"/>
      <c r="AF475289" s="36"/>
    </row>
    <row r="475385" spans="31:32" x14ac:dyDescent="0.25">
      <c r="AE475385" s="34"/>
      <c r="AF475385" s="34"/>
    </row>
    <row r="475393" spans="31:32" x14ac:dyDescent="0.25">
      <c r="AE475393" s="36"/>
      <c r="AF475393" s="36"/>
    </row>
    <row r="475489" spans="31:32" x14ac:dyDescent="0.25">
      <c r="AE475489" s="34"/>
      <c r="AF475489" s="34"/>
    </row>
    <row r="475497" spans="31:32" x14ac:dyDescent="0.25">
      <c r="AE475497" s="36"/>
      <c r="AF475497" s="36"/>
    </row>
    <row r="475593" spans="31:32" x14ac:dyDescent="0.25">
      <c r="AE475593" s="34"/>
      <c r="AF475593" s="34"/>
    </row>
    <row r="475601" spans="31:32" x14ac:dyDescent="0.25">
      <c r="AE475601" s="36"/>
      <c r="AF475601" s="36"/>
    </row>
    <row r="475697" spans="31:32" x14ac:dyDescent="0.25">
      <c r="AE475697" s="34"/>
      <c r="AF475697" s="34"/>
    </row>
    <row r="475705" spans="31:32" x14ac:dyDescent="0.25">
      <c r="AE475705" s="36"/>
      <c r="AF475705" s="36"/>
    </row>
    <row r="475801" spans="31:32" x14ac:dyDescent="0.25">
      <c r="AE475801" s="34"/>
      <c r="AF475801" s="34"/>
    </row>
    <row r="475809" spans="31:32" x14ac:dyDescent="0.25">
      <c r="AE475809" s="36"/>
      <c r="AF475809" s="36"/>
    </row>
    <row r="475905" spans="31:32" x14ac:dyDescent="0.25">
      <c r="AE475905" s="34"/>
      <c r="AF475905" s="34"/>
    </row>
    <row r="475913" spans="31:32" x14ac:dyDescent="0.25">
      <c r="AE475913" s="36"/>
      <c r="AF475913" s="36"/>
    </row>
    <row r="476009" spans="31:32" x14ac:dyDescent="0.25">
      <c r="AE476009" s="34"/>
      <c r="AF476009" s="34"/>
    </row>
    <row r="476017" spans="31:32" x14ac:dyDescent="0.25">
      <c r="AE476017" s="36"/>
      <c r="AF476017" s="36"/>
    </row>
    <row r="476113" spans="31:32" x14ac:dyDescent="0.25">
      <c r="AE476113" s="34"/>
      <c r="AF476113" s="34"/>
    </row>
    <row r="476121" spans="31:32" x14ac:dyDescent="0.25">
      <c r="AE476121" s="36"/>
      <c r="AF476121" s="36"/>
    </row>
    <row r="476217" spans="31:32" x14ac:dyDescent="0.25">
      <c r="AE476217" s="34"/>
      <c r="AF476217" s="34"/>
    </row>
    <row r="476225" spans="31:32" x14ac:dyDescent="0.25">
      <c r="AE476225" s="36"/>
      <c r="AF476225" s="36"/>
    </row>
    <row r="476321" spans="31:32" x14ac:dyDescent="0.25">
      <c r="AE476321" s="34"/>
      <c r="AF476321" s="34"/>
    </row>
    <row r="476329" spans="31:32" x14ac:dyDescent="0.25">
      <c r="AE476329" s="36"/>
      <c r="AF476329" s="36"/>
    </row>
    <row r="476425" spans="31:32" x14ac:dyDescent="0.25">
      <c r="AE476425" s="34"/>
      <c r="AF476425" s="34"/>
    </row>
    <row r="476433" spans="31:32" x14ac:dyDescent="0.25">
      <c r="AE476433" s="36"/>
      <c r="AF476433" s="36"/>
    </row>
    <row r="476529" spans="31:32" x14ac:dyDescent="0.25">
      <c r="AE476529" s="34"/>
      <c r="AF476529" s="34"/>
    </row>
    <row r="476537" spans="31:32" x14ac:dyDescent="0.25">
      <c r="AE476537" s="36"/>
      <c r="AF476537" s="36"/>
    </row>
    <row r="476633" spans="31:32" x14ac:dyDescent="0.25">
      <c r="AE476633" s="34"/>
      <c r="AF476633" s="34"/>
    </row>
    <row r="476641" spans="31:32" x14ac:dyDescent="0.25">
      <c r="AE476641" s="36"/>
      <c r="AF476641" s="36"/>
    </row>
    <row r="476737" spans="31:32" x14ac:dyDescent="0.25">
      <c r="AE476737" s="34"/>
      <c r="AF476737" s="34"/>
    </row>
    <row r="476745" spans="31:32" x14ac:dyDescent="0.25">
      <c r="AE476745" s="36"/>
      <c r="AF476745" s="36"/>
    </row>
    <row r="476841" spans="31:32" x14ac:dyDescent="0.25">
      <c r="AE476841" s="34"/>
      <c r="AF476841" s="34"/>
    </row>
    <row r="476849" spans="31:32" x14ac:dyDescent="0.25">
      <c r="AE476849" s="36"/>
      <c r="AF476849" s="36"/>
    </row>
    <row r="476945" spans="31:32" x14ac:dyDescent="0.25">
      <c r="AE476945" s="34"/>
      <c r="AF476945" s="34"/>
    </row>
    <row r="476953" spans="31:32" x14ac:dyDescent="0.25">
      <c r="AE476953" s="36"/>
      <c r="AF476953" s="36"/>
    </row>
    <row r="477049" spans="31:32" x14ac:dyDescent="0.25">
      <c r="AE477049" s="34"/>
      <c r="AF477049" s="34"/>
    </row>
    <row r="477057" spans="31:32" x14ac:dyDescent="0.25">
      <c r="AE477057" s="36"/>
      <c r="AF477057" s="36"/>
    </row>
    <row r="477153" spans="31:32" x14ac:dyDescent="0.25">
      <c r="AE477153" s="34"/>
      <c r="AF477153" s="34"/>
    </row>
    <row r="477161" spans="31:32" x14ac:dyDescent="0.25">
      <c r="AE477161" s="36"/>
      <c r="AF477161" s="36"/>
    </row>
    <row r="477257" spans="31:32" x14ac:dyDescent="0.25">
      <c r="AE477257" s="34"/>
      <c r="AF477257" s="34"/>
    </row>
    <row r="477265" spans="31:32" x14ac:dyDescent="0.25">
      <c r="AE477265" s="36"/>
      <c r="AF477265" s="36"/>
    </row>
    <row r="477361" spans="31:32" x14ac:dyDescent="0.25">
      <c r="AE477361" s="34"/>
      <c r="AF477361" s="34"/>
    </row>
    <row r="477369" spans="31:32" x14ac:dyDescent="0.25">
      <c r="AE477369" s="36"/>
      <c r="AF477369" s="36"/>
    </row>
    <row r="477465" spans="31:32" x14ac:dyDescent="0.25">
      <c r="AE477465" s="34"/>
      <c r="AF477465" s="34"/>
    </row>
    <row r="477473" spans="31:32" x14ac:dyDescent="0.25">
      <c r="AE477473" s="36"/>
      <c r="AF477473" s="36"/>
    </row>
    <row r="477569" spans="31:32" x14ac:dyDescent="0.25">
      <c r="AE477569" s="34"/>
      <c r="AF477569" s="34"/>
    </row>
    <row r="477577" spans="31:32" x14ac:dyDescent="0.25">
      <c r="AE477577" s="36"/>
      <c r="AF477577" s="36"/>
    </row>
    <row r="477673" spans="31:32" x14ac:dyDescent="0.25">
      <c r="AE477673" s="34"/>
      <c r="AF477673" s="34"/>
    </row>
    <row r="477681" spans="31:32" x14ac:dyDescent="0.25">
      <c r="AE477681" s="36"/>
      <c r="AF477681" s="36"/>
    </row>
    <row r="477777" spans="31:32" x14ac:dyDescent="0.25">
      <c r="AE477777" s="34"/>
      <c r="AF477777" s="34"/>
    </row>
    <row r="477785" spans="31:32" x14ac:dyDescent="0.25">
      <c r="AE477785" s="36"/>
      <c r="AF477785" s="36"/>
    </row>
    <row r="477881" spans="31:32" x14ac:dyDescent="0.25">
      <c r="AE477881" s="34"/>
      <c r="AF477881" s="34"/>
    </row>
    <row r="477889" spans="31:32" x14ac:dyDescent="0.25">
      <c r="AE477889" s="36"/>
      <c r="AF477889" s="36"/>
    </row>
    <row r="477985" spans="31:32" x14ac:dyDescent="0.25">
      <c r="AE477985" s="34"/>
      <c r="AF477985" s="34"/>
    </row>
    <row r="477993" spans="31:32" x14ac:dyDescent="0.25">
      <c r="AE477993" s="36"/>
      <c r="AF477993" s="36"/>
    </row>
    <row r="478089" spans="31:32" x14ac:dyDescent="0.25">
      <c r="AE478089" s="34"/>
      <c r="AF478089" s="34"/>
    </row>
    <row r="478097" spans="31:32" x14ac:dyDescent="0.25">
      <c r="AE478097" s="36"/>
      <c r="AF478097" s="36"/>
    </row>
    <row r="478193" spans="31:32" x14ac:dyDescent="0.25">
      <c r="AE478193" s="34"/>
      <c r="AF478193" s="34"/>
    </row>
    <row r="478201" spans="31:32" x14ac:dyDescent="0.25">
      <c r="AE478201" s="36"/>
      <c r="AF478201" s="36"/>
    </row>
    <row r="478297" spans="31:32" x14ac:dyDescent="0.25">
      <c r="AE478297" s="34"/>
      <c r="AF478297" s="34"/>
    </row>
    <row r="478305" spans="31:32" x14ac:dyDescent="0.25">
      <c r="AE478305" s="36"/>
      <c r="AF478305" s="36"/>
    </row>
    <row r="478401" spans="31:32" x14ac:dyDescent="0.25">
      <c r="AE478401" s="34"/>
      <c r="AF478401" s="34"/>
    </row>
    <row r="478409" spans="31:32" x14ac:dyDescent="0.25">
      <c r="AE478409" s="36"/>
      <c r="AF478409" s="36"/>
    </row>
    <row r="478505" spans="31:32" x14ac:dyDescent="0.25">
      <c r="AE478505" s="34"/>
      <c r="AF478505" s="34"/>
    </row>
    <row r="478513" spans="31:32" x14ac:dyDescent="0.25">
      <c r="AE478513" s="36"/>
      <c r="AF478513" s="36"/>
    </row>
    <row r="478609" spans="31:32" x14ac:dyDescent="0.25">
      <c r="AE478609" s="34"/>
      <c r="AF478609" s="34"/>
    </row>
    <row r="478617" spans="31:32" x14ac:dyDescent="0.25">
      <c r="AE478617" s="36"/>
      <c r="AF478617" s="36"/>
    </row>
    <row r="478713" spans="31:32" x14ac:dyDescent="0.25">
      <c r="AE478713" s="34"/>
      <c r="AF478713" s="34"/>
    </row>
    <row r="478721" spans="31:32" x14ac:dyDescent="0.25">
      <c r="AE478721" s="36"/>
      <c r="AF478721" s="36"/>
    </row>
    <row r="478817" spans="31:32" x14ac:dyDescent="0.25">
      <c r="AE478817" s="34"/>
      <c r="AF478817" s="34"/>
    </row>
    <row r="478825" spans="31:32" x14ac:dyDescent="0.25">
      <c r="AE478825" s="36"/>
      <c r="AF478825" s="36"/>
    </row>
    <row r="478921" spans="31:32" x14ac:dyDescent="0.25">
      <c r="AE478921" s="34"/>
      <c r="AF478921" s="34"/>
    </row>
    <row r="478929" spans="31:32" x14ac:dyDescent="0.25">
      <c r="AE478929" s="36"/>
      <c r="AF478929" s="36"/>
    </row>
    <row r="479025" spans="31:32" x14ac:dyDescent="0.25">
      <c r="AE479025" s="34"/>
      <c r="AF479025" s="34"/>
    </row>
    <row r="479033" spans="31:32" x14ac:dyDescent="0.25">
      <c r="AE479033" s="36"/>
      <c r="AF479033" s="36"/>
    </row>
    <row r="479129" spans="31:32" x14ac:dyDescent="0.25">
      <c r="AE479129" s="34"/>
      <c r="AF479129" s="34"/>
    </row>
    <row r="479137" spans="31:32" x14ac:dyDescent="0.25">
      <c r="AE479137" s="36"/>
      <c r="AF479137" s="36"/>
    </row>
    <row r="479233" spans="31:32" x14ac:dyDescent="0.25">
      <c r="AE479233" s="34"/>
      <c r="AF479233" s="34"/>
    </row>
    <row r="479241" spans="31:32" x14ac:dyDescent="0.25">
      <c r="AE479241" s="36"/>
      <c r="AF479241" s="36"/>
    </row>
    <row r="479337" spans="31:32" x14ac:dyDescent="0.25">
      <c r="AE479337" s="34"/>
      <c r="AF479337" s="34"/>
    </row>
    <row r="479345" spans="31:32" x14ac:dyDescent="0.25">
      <c r="AE479345" s="36"/>
      <c r="AF479345" s="36"/>
    </row>
    <row r="479441" spans="31:32" x14ac:dyDescent="0.25">
      <c r="AE479441" s="34"/>
      <c r="AF479441" s="34"/>
    </row>
    <row r="479449" spans="31:32" x14ac:dyDescent="0.25">
      <c r="AE479449" s="36"/>
      <c r="AF479449" s="36"/>
    </row>
    <row r="479545" spans="31:32" x14ac:dyDescent="0.25">
      <c r="AE479545" s="34"/>
      <c r="AF479545" s="34"/>
    </row>
    <row r="479553" spans="31:32" x14ac:dyDescent="0.25">
      <c r="AE479553" s="36"/>
      <c r="AF479553" s="36"/>
    </row>
    <row r="479649" spans="31:32" x14ac:dyDescent="0.25">
      <c r="AE479649" s="34"/>
      <c r="AF479649" s="34"/>
    </row>
    <row r="479657" spans="31:32" x14ac:dyDescent="0.25">
      <c r="AE479657" s="36"/>
      <c r="AF479657" s="36"/>
    </row>
    <row r="479753" spans="31:32" x14ac:dyDescent="0.25">
      <c r="AE479753" s="34"/>
      <c r="AF479753" s="34"/>
    </row>
    <row r="479761" spans="31:32" x14ac:dyDescent="0.25">
      <c r="AE479761" s="36"/>
      <c r="AF479761" s="36"/>
    </row>
    <row r="479857" spans="31:32" x14ac:dyDescent="0.25">
      <c r="AE479857" s="34"/>
      <c r="AF479857" s="34"/>
    </row>
    <row r="479865" spans="31:32" x14ac:dyDescent="0.25">
      <c r="AE479865" s="36"/>
      <c r="AF479865" s="36"/>
    </row>
    <row r="479961" spans="31:32" x14ac:dyDescent="0.25">
      <c r="AE479961" s="34"/>
      <c r="AF479961" s="34"/>
    </row>
    <row r="479969" spans="31:32" x14ac:dyDescent="0.25">
      <c r="AE479969" s="36"/>
      <c r="AF479969" s="36"/>
    </row>
    <row r="480065" spans="31:32" x14ac:dyDescent="0.25">
      <c r="AE480065" s="34"/>
      <c r="AF480065" s="34"/>
    </row>
    <row r="480073" spans="31:32" x14ac:dyDescent="0.25">
      <c r="AE480073" s="36"/>
      <c r="AF480073" s="36"/>
    </row>
    <row r="480169" spans="31:32" x14ac:dyDescent="0.25">
      <c r="AE480169" s="34"/>
      <c r="AF480169" s="34"/>
    </row>
    <row r="480177" spans="31:32" x14ac:dyDescent="0.25">
      <c r="AE480177" s="36"/>
      <c r="AF480177" s="36"/>
    </row>
    <row r="480273" spans="31:32" x14ac:dyDescent="0.25">
      <c r="AE480273" s="34"/>
      <c r="AF480273" s="34"/>
    </row>
    <row r="480281" spans="31:32" x14ac:dyDescent="0.25">
      <c r="AE480281" s="36"/>
      <c r="AF480281" s="36"/>
    </row>
    <row r="480377" spans="31:32" x14ac:dyDescent="0.25">
      <c r="AE480377" s="34"/>
      <c r="AF480377" s="34"/>
    </row>
    <row r="480385" spans="31:32" x14ac:dyDescent="0.25">
      <c r="AE480385" s="36"/>
      <c r="AF480385" s="36"/>
    </row>
    <row r="480481" spans="31:32" x14ac:dyDescent="0.25">
      <c r="AE480481" s="34"/>
      <c r="AF480481" s="34"/>
    </row>
    <row r="480489" spans="31:32" x14ac:dyDescent="0.25">
      <c r="AE480489" s="36"/>
      <c r="AF480489" s="36"/>
    </row>
    <row r="480585" spans="31:32" x14ac:dyDescent="0.25">
      <c r="AE480585" s="34"/>
      <c r="AF480585" s="34"/>
    </row>
    <row r="480593" spans="31:32" x14ac:dyDescent="0.25">
      <c r="AE480593" s="36"/>
      <c r="AF480593" s="36"/>
    </row>
    <row r="480689" spans="31:32" x14ac:dyDescent="0.25">
      <c r="AE480689" s="34"/>
      <c r="AF480689" s="34"/>
    </row>
    <row r="480697" spans="31:32" x14ac:dyDescent="0.25">
      <c r="AE480697" s="36"/>
      <c r="AF480697" s="36"/>
    </row>
    <row r="480793" spans="31:32" x14ac:dyDescent="0.25">
      <c r="AE480793" s="34"/>
      <c r="AF480793" s="34"/>
    </row>
    <row r="480801" spans="31:32" x14ac:dyDescent="0.25">
      <c r="AE480801" s="36"/>
      <c r="AF480801" s="36"/>
    </row>
    <row r="480897" spans="31:32" x14ac:dyDescent="0.25">
      <c r="AE480897" s="34"/>
      <c r="AF480897" s="34"/>
    </row>
    <row r="480905" spans="31:32" x14ac:dyDescent="0.25">
      <c r="AE480905" s="36"/>
      <c r="AF480905" s="36"/>
    </row>
    <row r="481001" spans="31:32" x14ac:dyDescent="0.25">
      <c r="AE481001" s="34"/>
      <c r="AF481001" s="34"/>
    </row>
    <row r="481009" spans="31:32" x14ac:dyDescent="0.25">
      <c r="AE481009" s="36"/>
      <c r="AF481009" s="36"/>
    </row>
    <row r="481105" spans="31:32" x14ac:dyDescent="0.25">
      <c r="AE481105" s="34"/>
      <c r="AF481105" s="34"/>
    </row>
    <row r="481113" spans="31:32" x14ac:dyDescent="0.25">
      <c r="AE481113" s="36"/>
      <c r="AF481113" s="36"/>
    </row>
    <row r="481209" spans="31:32" x14ac:dyDescent="0.25">
      <c r="AE481209" s="34"/>
      <c r="AF481209" s="34"/>
    </row>
    <row r="481217" spans="31:32" x14ac:dyDescent="0.25">
      <c r="AE481217" s="36"/>
      <c r="AF481217" s="36"/>
    </row>
    <row r="481313" spans="31:32" x14ac:dyDescent="0.25">
      <c r="AE481313" s="34"/>
      <c r="AF481313" s="34"/>
    </row>
    <row r="481321" spans="31:32" x14ac:dyDescent="0.25">
      <c r="AE481321" s="36"/>
      <c r="AF481321" s="36"/>
    </row>
    <row r="481417" spans="31:32" x14ac:dyDescent="0.25">
      <c r="AE481417" s="34"/>
      <c r="AF481417" s="34"/>
    </row>
    <row r="481425" spans="31:32" x14ac:dyDescent="0.25">
      <c r="AE481425" s="36"/>
      <c r="AF481425" s="36"/>
    </row>
    <row r="481521" spans="31:32" x14ac:dyDescent="0.25">
      <c r="AE481521" s="34"/>
      <c r="AF481521" s="34"/>
    </row>
    <row r="481529" spans="31:32" x14ac:dyDescent="0.25">
      <c r="AE481529" s="36"/>
      <c r="AF481529" s="36"/>
    </row>
    <row r="481625" spans="31:32" x14ac:dyDescent="0.25">
      <c r="AE481625" s="34"/>
      <c r="AF481625" s="34"/>
    </row>
    <row r="481633" spans="31:32" x14ac:dyDescent="0.25">
      <c r="AE481633" s="36"/>
      <c r="AF481633" s="36"/>
    </row>
    <row r="481729" spans="31:32" x14ac:dyDescent="0.25">
      <c r="AE481729" s="34"/>
      <c r="AF481729" s="34"/>
    </row>
    <row r="481737" spans="31:32" x14ac:dyDescent="0.25">
      <c r="AE481737" s="36"/>
      <c r="AF481737" s="36"/>
    </row>
    <row r="481833" spans="31:32" x14ac:dyDescent="0.25">
      <c r="AE481833" s="34"/>
      <c r="AF481833" s="34"/>
    </row>
    <row r="481841" spans="31:32" x14ac:dyDescent="0.25">
      <c r="AE481841" s="36"/>
      <c r="AF481841" s="36"/>
    </row>
    <row r="481937" spans="31:32" x14ac:dyDescent="0.25">
      <c r="AE481937" s="34"/>
      <c r="AF481937" s="34"/>
    </row>
    <row r="481945" spans="31:32" x14ac:dyDescent="0.25">
      <c r="AE481945" s="36"/>
      <c r="AF481945" s="36"/>
    </row>
    <row r="482041" spans="31:32" x14ac:dyDescent="0.25">
      <c r="AE482041" s="34"/>
      <c r="AF482041" s="34"/>
    </row>
    <row r="482049" spans="31:32" x14ac:dyDescent="0.25">
      <c r="AE482049" s="36"/>
      <c r="AF482049" s="36"/>
    </row>
    <row r="482145" spans="31:32" x14ac:dyDescent="0.25">
      <c r="AE482145" s="34"/>
      <c r="AF482145" s="34"/>
    </row>
    <row r="482153" spans="31:32" x14ac:dyDescent="0.25">
      <c r="AE482153" s="36"/>
      <c r="AF482153" s="36"/>
    </row>
    <row r="482249" spans="31:32" x14ac:dyDescent="0.25">
      <c r="AE482249" s="34"/>
      <c r="AF482249" s="34"/>
    </row>
    <row r="482257" spans="31:32" x14ac:dyDescent="0.25">
      <c r="AE482257" s="36"/>
      <c r="AF482257" s="36"/>
    </row>
    <row r="482353" spans="31:32" x14ac:dyDescent="0.25">
      <c r="AE482353" s="34"/>
      <c r="AF482353" s="34"/>
    </row>
    <row r="482361" spans="31:32" x14ac:dyDescent="0.25">
      <c r="AE482361" s="36"/>
      <c r="AF482361" s="36"/>
    </row>
    <row r="482457" spans="31:32" x14ac:dyDescent="0.25">
      <c r="AE482457" s="34"/>
      <c r="AF482457" s="34"/>
    </row>
    <row r="482465" spans="31:32" x14ac:dyDescent="0.25">
      <c r="AE482465" s="36"/>
      <c r="AF482465" s="36"/>
    </row>
    <row r="482561" spans="31:32" x14ac:dyDescent="0.25">
      <c r="AE482561" s="34"/>
      <c r="AF482561" s="34"/>
    </row>
    <row r="482569" spans="31:32" x14ac:dyDescent="0.25">
      <c r="AE482569" s="36"/>
      <c r="AF482569" s="36"/>
    </row>
    <row r="482665" spans="31:32" x14ac:dyDescent="0.25">
      <c r="AE482665" s="34"/>
      <c r="AF482665" s="34"/>
    </row>
    <row r="482673" spans="31:32" x14ac:dyDescent="0.25">
      <c r="AE482673" s="36"/>
      <c r="AF482673" s="36"/>
    </row>
    <row r="482769" spans="31:32" x14ac:dyDescent="0.25">
      <c r="AE482769" s="34"/>
      <c r="AF482769" s="34"/>
    </row>
    <row r="482777" spans="31:32" x14ac:dyDescent="0.25">
      <c r="AE482777" s="36"/>
      <c r="AF482777" s="36"/>
    </row>
    <row r="482873" spans="31:32" x14ac:dyDescent="0.25">
      <c r="AE482873" s="34"/>
      <c r="AF482873" s="34"/>
    </row>
    <row r="482881" spans="31:32" x14ac:dyDescent="0.25">
      <c r="AE482881" s="36"/>
      <c r="AF482881" s="36"/>
    </row>
    <row r="482977" spans="31:32" x14ac:dyDescent="0.25">
      <c r="AE482977" s="34"/>
      <c r="AF482977" s="34"/>
    </row>
    <row r="482985" spans="31:32" x14ac:dyDescent="0.25">
      <c r="AE482985" s="36"/>
      <c r="AF482985" s="36"/>
    </row>
    <row r="483081" spans="31:32" x14ac:dyDescent="0.25">
      <c r="AE483081" s="34"/>
      <c r="AF483081" s="34"/>
    </row>
    <row r="483089" spans="31:32" x14ac:dyDescent="0.25">
      <c r="AE483089" s="36"/>
      <c r="AF483089" s="36"/>
    </row>
    <row r="483185" spans="31:32" x14ac:dyDescent="0.25">
      <c r="AE483185" s="34"/>
      <c r="AF483185" s="34"/>
    </row>
    <row r="483193" spans="31:32" x14ac:dyDescent="0.25">
      <c r="AE483193" s="36"/>
      <c r="AF483193" s="36"/>
    </row>
    <row r="483289" spans="31:32" x14ac:dyDescent="0.25">
      <c r="AE483289" s="34"/>
      <c r="AF483289" s="34"/>
    </row>
    <row r="483297" spans="31:32" x14ac:dyDescent="0.25">
      <c r="AE483297" s="36"/>
      <c r="AF483297" s="36"/>
    </row>
    <row r="483393" spans="31:32" x14ac:dyDescent="0.25">
      <c r="AE483393" s="34"/>
      <c r="AF483393" s="34"/>
    </row>
    <row r="483401" spans="31:32" x14ac:dyDescent="0.25">
      <c r="AE483401" s="36"/>
      <c r="AF483401" s="36"/>
    </row>
    <row r="483497" spans="31:32" x14ac:dyDescent="0.25">
      <c r="AE483497" s="34"/>
      <c r="AF483497" s="34"/>
    </row>
    <row r="483505" spans="31:32" x14ac:dyDescent="0.25">
      <c r="AE483505" s="36"/>
      <c r="AF483505" s="36"/>
    </row>
    <row r="483601" spans="31:32" x14ac:dyDescent="0.25">
      <c r="AE483601" s="34"/>
      <c r="AF483601" s="34"/>
    </row>
    <row r="483609" spans="31:32" x14ac:dyDescent="0.25">
      <c r="AE483609" s="36"/>
      <c r="AF483609" s="36"/>
    </row>
    <row r="483705" spans="31:32" x14ac:dyDescent="0.25">
      <c r="AE483705" s="34"/>
      <c r="AF483705" s="34"/>
    </row>
    <row r="483713" spans="31:32" x14ac:dyDescent="0.25">
      <c r="AE483713" s="36"/>
      <c r="AF483713" s="36"/>
    </row>
    <row r="483809" spans="31:32" x14ac:dyDescent="0.25">
      <c r="AE483809" s="34"/>
      <c r="AF483809" s="34"/>
    </row>
    <row r="483817" spans="31:32" x14ac:dyDescent="0.25">
      <c r="AE483817" s="36"/>
      <c r="AF483817" s="36"/>
    </row>
    <row r="483913" spans="31:32" x14ac:dyDescent="0.25">
      <c r="AE483913" s="34"/>
      <c r="AF483913" s="34"/>
    </row>
    <row r="483921" spans="31:32" x14ac:dyDescent="0.25">
      <c r="AE483921" s="36"/>
      <c r="AF483921" s="36"/>
    </row>
    <row r="484017" spans="31:32" x14ac:dyDescent="0.25">
      <c r="AE484017" s="34"/>
      <c r="AF484017" s="34"/>
    </row>
    <row r="484025" spans="31:32" x14ac:dyDescent="0.25">
      <c r="AE484025" s="36"/>
      <c r="AF484025" s="36"/>
    </row>
    <row r="484121" spans="31:32" x14ac:dyDescent="0.25">
      <c r="AE484121" s="34"/>
      <c r="AF484121" s="34"/>
    </row>
    <row r="484129" spans="31:32" x14ac:dyDescent="0.25">
      <c r="AE484129" s="36"/>
      <c r="AF484129" s="36"/>
    </row>
    <row r="484225" spans="31:32" x14ac:dyDescent="0.25">
      <c r="AE484225" s="34"/>
      <c r="AF484225" s="34"/>
    </row>
    <row r="484233" spans="31:32" x14ac:dyDescent="0.25">
      <c r="AE484233" s="36"/>
      <c r="AF484233" s="36"/>
    </row>
    <row r="484329" spans="31:32" x14ac:dyDescent="0.25">
      <c r="AE484329" s="34"/>
      <c r="AF484329" s="34"/>
    </row>
    <row r="484337" spans="31:32" x14ac:dyDescent="0.25">
      <c r="AE484337" s="36"/>
      <c r="AF484337" s="36"/>
    </row>
    <row r="484433" spans="31:32" x14ac:dyDescent="0.25">
      <c r="AE484433" s="34"/>
      <c r="AF484433" s="34"/>
    </row>
    <row r="484441" spans="31:32" x14ac:dyDescent="0.25">
      <c r="AE484441" s="36"/>
      <c r="AF484441" s="36"/>
    </row>
    <row r="484537" spans="31:32" x14ac:dyDescent="0.25">
      <c r="AE484537" s="34"/>
      <c r="AF484537" s="34"/>
    </row>
    <row r="484545" spans="31:32" x14ac:dyDescent="0.25">
      <c r="AE484545" s="36"/>
      <c r="AF484545" s="36"/>
    </row>
    <row r="484641" spans="31:32" x14ac:dyDescent="0.25">
      <c r="AE484641" s="34"/>
      <c r="AF484641" s="34"/>
    </row>
    <row r="484649" spans="31:32" x14ac:dyDescent="0.25">
      <c r="AE484649" s="36"/>
      <c r="AF484649" s="36"/>
    </row>
    <row r="484745" spans="31:32" x14ac:dyDescent="0.25">
      <c r="AE484745" s="34"/>
      <c r="AF484745" s="34"/>
    </row>
    <row r="484753" spans="31:32" x14ac:dyDescent="0.25">
      <c r="AE484753" s="36"/>
      <c r="AF484753" s="36"/>
    </row>
    <row r="484849" spans="31:32" x14ac:dyDescent="0.25">
      <c r="AE484849" s="34"/>
      <c r="AF484849" s="34"/>
    </row>
    <row r="484857" spans="31:32" x14ac:dyDescent="0.25">
      <c r="AE484857" s="36"/>
      <c r="AF484857" s="36"/>
    </row>
    <row r="484953" spans="31:32" x14ac:dyDescent="0.25">
      <c r="AE484953" s="34"/>
      <c r="AF484953" s="34"/>
    </row>
    <row r="484961" spans="31:32" x14ac:dyDescent="0.25">
      <c r="AE484961" s="36"/>
      <c r="AF484961" s="36"/>
    </row>
    <row r="485057" spans="31:32" x14ac:dyDescent="0.25">
      <c r="AE485057" s="34"/>
      <c r="AF485057" s="34"/>
    </row>
    <row r="485065" spans="31:32" x14ac:dyDescent="0.25">
      <c r="AE485065" s="36"/>
      <c r="AF485065" s="36"/>
    </row>
    <row r="485161" spans="31:32" x14ac:dyDescent="0.25">
      <c r="AE485161" s="34"/>
      <c r="AF485161" s="34"/>
    </row>
    <row r="485169" spans="31:32" x14ac:dyDescent="0.25">
      <c r="AE485169" s="36"/>
      <c r="AF485169" s="36"/>
    </row>
    <row r="485265" spans="31:32" x14ac:dyDescent="0.25">
      <c r="AE485265" s="34"/>
      <c r="AF485265" s="34"/>
    </row>
    <row r="485273" spans="31:32" x14ac:dyDescent="0.25">
      <c r="AE485273" s="36"/>
      <c r="AF485273" s="36"/>
    </row>
    <row r="485369" spans="31:32" x14ac:dyDescent="0.25">
      <c r="AE485369" s="34"/>
      <c r="AF485369" s="34"/>
    </row>
    <row r="485377" spans="31:32" x14ac:dyDescent="0.25">
      <c r="AE485377" s="36"/>
      <c r="AF485377" s="36"/>
    </row>
    <row r="485473" spans="31:32" x14ac:dyDescent="0.25">
      <c r="AE485473" s="34"/>
      <c r="AF485473" s="34"/>
    </row>
    <row r="485481" spans="31:32" x14ac:dyDescent="0.25">
      <c r="AE485481" s="36"/>
      <c r="AF485481" s="36"/>
    </row>
    <row r="485577" spans="31:32" x14ac:dyDescent="0.25">
      <c r="AE485577" s="34"/>
      <c r="AF485577" s="34"/>
    </row>
    <row r="485585" spans="31:32" x14ac:dyDescent="0.25">
      <c r="AE485585" s="36"/>
      <c r="AF485585" s="36"/>
    </row>
    <row r="485681" spans="31:32" x14ac:dyDescent="0.25">
      <c r="AE485681" s="34"/>
      <c r="AF485681" s="34"/>
    </row>
    <row r="485689" spans="31:32" x14ac:dyDescent="0.25">
      <c r="AE485689" s="36"/>
      <c r="AF485689" s="36"/>
    </row>
    <row r="485785" spans="31:32" x14ac:dyDescent="0.25">
      <c r="AE485785" s="34"/>
      <c r="AF485785" s="34"/>
    </row>
    <row r="485793" spans="31:32" x14ac:dyDescent="0.25">
      <c r="AE485793" s="36"/>
      <c r="AF485793" s="36"/>
    </row>
    <row r="485889" spans="31:32" x14ac:dyDescent="0.25">
      <c r="AE485889" s="34"/>
      <c r="AF485889" s="34"/>
    </row>
    <row r="485897" spans="31:32" x14ac:dyDescent="0.25">
      <c r="AE485897" s="36"/>
      <c r="AF485897" s="36"/>
    </row>
    <row r="485993" spans="31:32" x14ac:dyDescent="0.25">
      <c r="AE485993" s="34"/>
      <c r="AF485993" s="34"/>
    </row>
    <row r="486001" spans="31:32" x14ac:dyDescent="0.25">
      <c r="AE486001" s="36"/>
      <c r="AF486001" s="36"/>
    </row>
    <row r="486097" spans="31:32" x14ac:dyDescent="0.25">
      <c r="AE486097" s="34"/>
      <c r="AF486097" s="34"/>
    </row>
    <row r="486105" spans="31:32" x14ac:dyDescent="0.25">
      <c r="AE486105" s="36"/>
      <c r="AF486105" s="36"/>
    </row>
    <row r="486201" spans="31:32" x14ac:dyDescent="0.25">
      <c r="AE486201" s="34"/>
      <c r="AF486201" s="34"/>
    </row>
    <row r="486209" spans="31:32" x14ac:dyDescent="0.25">
      <c r="AE486209" s="36"/>
      <c r="AF486209" s="36"/>
    </row>
    <row r="486305" spans="31:32" x14ac:dyDescent="0.25">
      <c r="AE486305" s="34"/>
      <c r="AF486305" s="34"/>
    </row>
    <row r="486313" spans="31:32" x14ac:dyDescent="0.25">
      <c r="AE486313" s="36"/>
      <c r="AF486313" s="36"/>
    </row>
    <row r="486409" spans="31:32" x14ac:dyDescent="0.25">
      <c r="AE486409" s="34"/>
      <c r="AF486409" s="34"/>
    </row>
    <row r="486417" spans="31:32" x14ac:dyDescent="0.25">
      <c r="AE486417" s="36"/>
      <c r="AF486417" s="36"/>
    </row>
    <row r="486513" spans="31:32" x14ac:dyDescent="0.25">
      <c r="AE486513" s="34"/>
      <c r="AF486513" s="34"/>
    </row>
    <row r="486521" spans="31:32" x14ac:dyDescent="0.25">
      <c r="AE486521" s="36"/>
      <c r="AF486521" s="36"/>
    </row>
    <row r="486617" spans="31:32" x14ac:dyDescent="0.25">
      <c r="AE486617" s="34"/>
      <c r="AF486617" s="34"/>
    </row>
    <row r="486625" spans="31:32" x14ac:dyDescent="0.25">
      <c r="AE486625" s="36"/>
      <c r="AF486625" s="36"/>
    </row>
    <row r="486721" spans="31:32" x14ac:dyDescent="0.25">
      <c r="AE486721" s="34"/>
      <c r="AF486721" s="34"/>
    </row>
    <row r="486729" spans="31:32" x14ac:dyDescent="0.25">
      <c r="AE486729" s="36"/>
      <c r="AF486729" s="36"/>
    </row>
    <row r="486825" spans="31:32" x14ac:dyDescent="0.25">
      <c r="AE486825" s="34"/>
      <c r="AF486825" s="34"/>
    </row>
    <row r="486833" spans="31:32" x14ac:dyDescent="0.25">
      <c r="AE486833" s="36"/>
      <c r="AF486833" s="36"/>
    </row>
    <row r="486929" spans="31:32" x14ac:dyDescent="0.25">
      <c r="AE486929" s="34"/>
      <c r="AF486929" s="34"/>
    </row>
    <row r="486937" spans="31:32" x14ac:dyDescent="0.25">
      <c r="AE486937" s="36"/>
      <c r="AF486937" s="36"/>
    </row>
    <row r="487033" spans="31:32" x14ac:dyDescent="0.25">
      <c r="AE487033" s="34"/>
      <c r="AF487033" s="34"/>
    </row>
    <row r="487041" spans="31:32" x14ac:dyDescent="0.25">
      <c r="AE487041" s="36"/>
      <c r="AF487041" s="36"/>
    </row>
    <row r="487137" spans="31:32" x14ac:dyDescent="0.25">
      <c r="AE487137" s="34"/>
      <c r="AF487137" s="34"/>
    </row>
    <row r="487145" spans="31:32" x14ac:dyDescent="0.25">
      <c r="AE487145" s="36"/>
      <c r="AF487145" s="36"/>
    </row>
    <row r="487241" spans="31:32" x14ac:dyDescent="0.25">
      <c r="AE487241" s="34"/>
      <c r="AF487241" s="34"/>
    </row>
    <row r="487249" spans="31:32" x14ac:dyDescent="0.25">
      <c r="AE487249" s="36"/>
      <c r="AF487249" s="36"/>
    </row>
    <row r="487345" spans="31:32" x14ac:dyDescent="0.25">
      <c r="AE487345" s="34"/>
      <c r="AF487345" s="34"/>
    </row>
    <row r="487353" spans="31:32" x14ac:dyDescent="0.25">
      <c r="AE487353" s="36"/>
      <c r="AF487353" s="36"/>
    </row>
    <row r="487449" spans="31:32" x14ac:dyDescent="0.25">
      <c r="AE487449" s="34"/>
      <c r="AF487449" s="34"/>
    </row>
    <row r="487457" spans="31:32" x14ac:dyDescent="0.25">
      <c r="AE487457" s="36"/>
      <c r="AF487457" s="36"/>
    </row>
    <row r="487553" spans="31:32" x14ac:dyDescent="0.25">
      <c r="AE487553" s="34"/>
      <c r="AF487553" s="34"/>
    </row>
    <row r="487561" spans="31:32" x14ac:dyDescent="0.25">
      <c r="AE487561" s="36"/>
      <c r="AF487561" s="36"/>
    </row>
    <row r="487657" spans="31:32" x14ac:dyDescent="0.25">
      <c r="AE487657" s="34"/>
      <c r="AF487657" s="34"/>
    </row>
    <row r="487665" spans="31:32" x14ac:dyDescent="0.25">
      <c r="AE487665" s="36"/>
      <c r="AF487665" s="36"/>
    </row>
    <row r="487761" spans="31:32" x14ac:dyDescent="0.25">
      <c r="AE487761" s="34"/>
      <c r="AF487761" s="34"/>
    </row>
    <row r="487769" spans="31:32" x14ac:dyDescent="0.25">
      <c r="AE487769" s="36"/>
      <c r="AF487769" s="36"/>
    </row>
    <row r="487865" spans="31:32" x14ac:dyDescent="0.25">
      <c r="AE487865" s="34"/>
      <c r="AF487865" s="34"/>
    </row>
    <row r="487873" spans="31:32" x14ac:dyDescent="0.25">
      <c r="AE487873" s="36"/>
      <c r="AF487873" s="36"/>
    </row>
    <row r="487969" spans="31:32" x14ac:dyDescent="0.25">
      <c r="AE487969" s="34"/>
      <c r="AF487969" s="34"/>
    </row>
    <row r="487977" spans="31:32" x14ac:dyDescent="0.25">
      <c r="AE487977" s="36"/>
      <c r="AF487977" s="36"/>
    </row>
    <row r="488073" spans="31:32" x14ac:dyDescent="0.25">
      <c r="AE488073" s="34"/>
      <c r="AF488073" s="34"/>
    </row>
    <row r="488081" spans="31:32" x14ac:dyDescent="0.25">
      <c r="AE488081" s="36"/>
      <c r="AF488081" s="36"/>
    </row>
    <row r="488177" spans="31:32" x14ac:dyDescent="0.25">
      <c r="AE488177" s="34"/>
      <c r="AF488177" s="34"/>
    </row>
    <row r="488185" spans="31:32" x14ac:dyDescent="0.25">
      <c r="AE488185" s="36"/>
      <c r="AF488185" s="36"/>
    </row>
    <row r="488281" spans="31:32" x14ac:dyDescent="0.25">
      <c r="AE488281" s="34"/>
      <c r="AF488281" s="34"/>
    </row>
    <row r="488289" spans="31:32" x14ac:dyDescent="0.25">
      <c r="AE488289" s="36"/>
      <c r="AF488289" s="36"/>
    </row>
    <row r="488385" spans="31:32" x14ac:dyDescent="0.25">
      <c r="AE488385" s="34"/>
      <c r="AF488385" s="34"/>
    </row>
    <row r="488393" spans="31:32" x14ac:dyDescent="0.25">
      <c r="AE488393" s="36"/>
      <c r="AF488393" s="36"/>
    </row>
    <row r="488489" spans="31:32" x14ac:dyDescent="0.25">
      <c r="AE488489" s="34"/>
      <c r="AF488489" s="34"/>
    </row>
    <row r="488497" spans="31:32" x14ac:dyDescent="0.25">
      <c r="AE488497" s="36"/>
      <c r="AF488497" s="36"/>
    </row>
    <row r="488593" spans="31:32" x14ac:dyDescent="0.25">
      <c r="AE488593" s="34"/>
      <c r="AF488593" s="34"/>
    </row>
    <row r="488601" spans="31:32" x14ac:dyDescent="0.25">
      <c r="AE488601" s="36"/>
      <c r="AF488601" s="36"/>
    </row>
    <row r="488697" spans="31:32" x14ac:dyDescent="0.25">
      <c r="AE488697" s="34"/>
      <c r="AF488697" s="34"/>
    </row>
    <row r="488705" spans="31:32" x14ac:dyDescent="0.25">
      <c r="AE488705" s="36"/>
      <c r="AF488705" s="36"/>
    </row>
    <row r="488801" spans="31:32" x14ac:dyDescent="0.25">
      <c r="AE488801" s="34"/>
      <c r="AF488801" s="34"/>
    </row>
    <row r="488809" spans="31:32" x14ac:dyDescent="0.25">
      <c r="AE488809" s="36"/>
      <c r="AF488809" s="36"/>
    </row>
    <row r="488905" spans="31:32" x14ac:dyDescent="0.25">
      <c r="AE488905" s="34"/>
      <c r="AF488905" s="34"/>
    </row>
    <row r="488913" spans="31:32" x14ac:dyDescent="0.25">
      <c r="AE488913" s="36"/>
      <c r="AF488913" s="36"/>
    </row>
    <row r="489009" spans="31:32" x14ac:dyDescent="0.25">
      <c r="AE489009" s="34"/>
      <c r="AF489009" s="34"/>
    </row>
    <row r="489017" spans="31:32" x14ac:dyDescent="0.25">
      <c r="AE489017" s="36"/>
      <c r="AF489017" s="36"/>
    </row>
    <row r="489113" spans="31:32" x14ac:dyDescent="0.25">
      <c r="AE489113" s="34"/>
      <c r="AF489113" s="34"/>
    </row>
    <row r="489121" spans="31:32" x14ac:dyDescent="0.25">
      <c r="AE489121" s="36"/>
      <c r="AF489121" s="36"/>
    </row>
    <row r="489217" spans="31:32" x14ac:dyDescent="0.25">
      <c r="AE489217" s="34"/>
      <c r="AF489217" s="34"/>
    </row>
    <row r="489225" spans="31:32" x14ac:dyDescent="0.25">
      <c r="AE489225" s="36"/>
      <c r="AF489225" s="36"/>
    </row>
    <row r="489321" spans="31:32" x14ac:dyDescent="0.25">
      <c r="AE489321" s="34"/>
      <c r="AF489321" s="34"/>
    </row>
    <row r="489329" spans="31:32" x14ac:dyDescent="0.25">
      <c r="AE489329" s="36"/>
      <c r="AF489329" s="36"/>
    </row>
    <row r="489425" spans="31:32" x14ac:dyDescent="0.25">
      <c r="AE489425" s="34"/>
      <c r="AF489425" s="34"/>
    </row>
    <row r="489433" spans="31:32" x14ac:dyDescent="0.25">
      <c r="AE489433" s="36"/>
      <c r="AF489433" s="36"/>
    </row>
    <row r="489529" spans="31:32" x14ac:dyDescent="0.25">
      <c r="AE489529" s="34"/>
      <c r="AF489529" s="34"/>
    </row>
    <row r="489537" spans="31:32" x14ac:dyDescent="0.25">
      <c r="AE489537" s="36"/>
      <c r="AF489537" s="36"/>
    </row>
    <row r="489633" spans="31:32" x14ac:dyDescent="0.25">
      <c r="AE489633" s="34"/>
      <c r="AF489633" s="34"/>
    </row>
    <row r="489641" spans="31:32" x14ac:dyDescent="0.25">
      <c r="AE489641" s="36"/>
      <c r="AF489641" s="36"/>
    </row>
    <row r="489737" spans="31:32" x14ac:dyDescent="0.25">
      <c r="AE489737" s="34"/>
      <c r="AF489737" s="34"/>
    </row>
    <row r="489745" spans="31:32" x14ac:dyDescent="0.25">
      <c r="AE489745" s="36"/>
      <c r="AF489745" s="36"/>
    </row>
    <row r="489841" spans="31:32" x14ac:dyDescent="0.25">
      <c r="AE489841" s="34"/>
      <c r="AF489841" s="34"/>
    </row>
    <row r="489849" spans="31:32" x14ac:dyDescent="0.25">
      <c r="AE489849" s="36"/>
      <c r="AF489849" s="36"/>
    </row>
    <row r="489945" spans="31:32" x14ac:dyDescent="0.25">
      <c r="AE489945" s="34"/>
      <c r="AF489945" s="34"/>
    </row>
    <row r="489953" spans="31:32" x14ac:dyDescent="0.25">
      <c r="AE489953" s="36"/>
      <c r="AF489953" s="36"/>
    </row>
    <row r="490049" spans="31:32" x14ac:dyDescent="0.25">
      <c r="AE490049" s="34"/>
      <c r="AF490049" s="34"/>
    </row>
    <row r="490057" spans="31:32" x14ac:dyDescent="0.25">
      <c r="AE490057" s="36"/>
      <c r="AF490057" s="36"/>
    </row>
    <row r="490153" spans="31:32" x14ac:dyDescent="0.25">
      <c r="AE490153" s="34"/>
      <c r="AF490153" s="34"/>
    </row>
    <row r="490161" spans="31:32" x14ac:dyDescent="0.25">
      <c r="AE490161" s="36"/>
      <c r="AF490161" s="36"/>
    </row>
    <row r="490257" spans="31:32" x14ac:dyDescent="0.25">
      <c r="AE490257" s="34"/>
      <c r="AF490257" s="34"/>
    </row>
    <row r="490265" spans="31:32" x14ac:dyDescent="0.25">
      <c r="AE490265" s="36"/>
      <c r="AF490265" s="36"/>
    </row>
    <row r="490361" spans="31:32" x14ac:dyDescent="0.25">
      <c r="AE490361" s="34"/>
      <c r="AF490361" s="34"/>
    </row>
    <row r="490369" spans="31:32" x14ac:dyDescent="0.25">
      <c r="AE490369" s="36"/>
      <c r="AF490369" s="36"/>
    </row>
    <row r="490465" spans="31:32" x14ac:dyDescent="0.25">
      <c r="AE490465" s="34"/>
      <c r="AF490465" s="34"/>
    </row>
    <row r="490473" spans="31:32" x14ac:dyDescent="0.25">
      <c r="AE490473" s="36"/>
      <c r="AF490473" s="36"/>
    </row>
    <row r="490569" spans="31:32" x14ac:dyDescent="0.25">
      <c r="AE490569" s="34"/>
      <c r="AF490569" s="34"/>
    </row>
    <row r="490577" spans="31:32" x14ac:dyDescent="0.25">
      <c r="AE490577" s="36"/>
      <c r="AF490577" s="36"/>
    </row>
    <row r="490673" spans="31:32" x14ac:dyDescent="0.25">
      <c r="AE490673" s="34"/>
      <c r="AF490673" s="34"/>
    </row>
    <row r="490681" spans="31:32" x14ac:dyDescent="0.25">
      <c r="AE490681" s="36"/>
      <c r="AF490681" s="36"/>
    </row>
    <row r="490777" spans="31:32" x14ac:dyDescent="0.25">
      <c r="AE490777" s="34"/>
      <c r="AF490777" s="34"/>
    </row>
    <row r="490785" spans="31:32" x14ac:dyDescent="0.25">
      <c r="AE490785" s="36"/>
      <c r="AF490785" s="36"/>
    </row>
    <row r="490881" spans="31:32" x14ac:dyDescent="0.25">
      <c r="AE490881" s="34"/>
      <c r="AF490881" s="34"/>
    </row>
    <row r="490889" spans="31:32" x14ac:dyDescent="0.25">
      <c r="AE490889" s="36"/>
      <c r="AF490889" s="36"/>
    </row>
    <row r="490985" spans="31:32" x14ac:dyDescent="0.25">
      <c r="AE490985" s="34"/>
      <c r="AF490985" s="34"/>
    </row>
    <row r="490993" spans="31:32" x14ac:dyDescent="0.25">
      <c r="AE490993" s="36"/>
      <c r="AF490993" s="36"/>
    </row>
    <row r="491089" spans="31:32" x14ac:dyDescent="0.25">
      <c r="AE491089" s="34"/>
      <c r="AF491089" s="34"/>
    </row>
    <row r="491097" spans="31:32" x14ac:dyDescent="0.25">
      <c r="AE491097" s="36"/>
      <c r="AF491097" s="36"/>
    </row>
    <row r="491193" spans="31:32" x14ac:dyDescent="0.25">
      <c r="AE491193" s="34"/>
      <c r="AF491193" s="34"/>
    </row>
    <row r="491201" spans="31:32" x14ac:dyDescent="0.25">
      <c r="AE491201" s="36"/>
      <c r="AF491201" s="36"/>
    </row>
    <row r="491297" spans="31:32" x14ac:dyDescent="0.25">
      <c r="AE491297" s="34"/>
      <c r="AF491297" s="34"/>
    </row>
    <row r="491305" spans="31:32" x14ac:dyDescent="0.25">
      <c r="AE491305" s="36"/>
      <c r="AF491305" s="36"/>
    </row>
    <row r="491401" spans="31:32" x14ac:dyDescent="0.25">
      <c r="AE491401" s="34"/>
      <c r="AF491401" s="34"/>
    </row>
    <row r="491409" spans="31:32" x14ac:dyDescent="0.25">
      <c r="AE491409" s="36"/>
      <c r="AF491409" s="36"/>
    </row>
    <row r="491505" spans="31:32" x14ac:dyDescent="0.25">
      <c r="AE491505" s="34"/>
      <c r="AF491505" s="34"/>
    </row>
    <row r="491513" spans="31:32" x14ac:dyDescent="0.25">
      <c r="AE491513" s="36"/>
      <c r="AF491513" s="36"/>
    </row>
    <row r="491609" spans="31:32" x14ac:dyDescent="0.25">
      <c r="AE491609" s="34"/>
      <c r="AF491609" s="34"/>
    </row>
    <row r="491617" spans="31:32" x14ac:dyDescent="0.25">
      <c r="AE491617" s="36"/>
      <c r="AF491617" s="36"/>
    </row>
    <row r="491713" spans="31:32" x14ac:dyDescent="0.25">
      <c r="AE491713" s="34"/>
      <c r="AF491713" s="34"/>
    </row>
    <row r="491721" spans="31:32" x14ac:dyDescent="0.25">
      <c r="AE491721" s="36"/>
      <c r="AF491721" s="36"/>
    </row>
    <row r="491817" spans="31:32" x14ac:dyDescent="0.25">
      <c r="AE491817" s="34"/>
      <c r="AF491817" s="34"/>
    </row>
    <row r="491825" spans="31:32" x14ac:dyDescent="0.25">
      <c r="AE491825" s="36"/>
      <c r="AF491825" s="36"/>
    </row>
    <row r="491921" spans="31:32" x14ac:dyDescent="0.25">
      <c r="AE491921" s="34"/>
      <c r="AF491921" s="34"/>
    </row>
    <row r="491929" spans="31:32" x14ac:dyDescent="0.25">
      <c r="AE491929" s="36"/>
      <c r="AF491929" s="36"/>
    </row>
    <row r="492025" spans="31:32" x14ac:dyDescent="0.25">
      <c r="AE492025" s="34"/>
      <c r="AF492025" s="34"/>
    </row>
    <row r="492033" spans="31:32" x14ac:dyDescent="0.25">
      <c r="AE492033" s="36"/>
      <c r="AF492033" s="36"/>
    </row>
    <row r="492129" spans="31:32" x14ac:dyDescent="0.25">
      <c r="AE492129" s="34"/>
      <c r="AF492129" s="34"/>
    </row>
    <row r="492137" spans="31:32" x14ac:dyDescent="0.25">
      <c r="AE492137" s="36"/>
      <c r="AF492137" s="36"/>
    </row>
    <row r="492233" spans="31:32" x14ac:dyDescent="0.25">
      <c r="AE492233" s="34"/>
      <c r="AF492233" s="34"/>
    </row>
    <row r="492241" spans="31:32" x14ac:dyDescent="0.25">
      <c r="AE492241" s="36"/>
      <c r="AF492241" s="36"/>
    </row>
    <row r="492337" spans="31:32" x14ac:dyDescent="0.25">
      <c r="AE492337" s="34"/>
      <c r="AF492337" s="34"/>
    </row>
    <row r="492345" spans="31:32" x14ac:dyDescent="0.25">
      <c r="AE492345" s="36"/>
      <c r="AF492345" s="36"/>
    </row>
    <row r="492441" spans="31:32" x14ac:dyDescent="0.25">
      <c r="AE492441" s="34"/>
      <c r="AF492441" s="34"/>
    </row>
    <row r="492449" spans="31:32" x14ac:dyDescent="0.25">
      <c r="AE492449" s="36"/>
      <c r="AF492449" s="36"/>
    </row>
    <row r="492545" spans="31:32" x14ac:dyDescent="0.25">
      <c r="AE492545" s="34"/>
      <c r="AF492545" s="34"/>
    </row>
    <row r="492553" spans="31:32" x14ac:dyDescent="0.25">
      <c r="AE492553" s="36"/>
      <c r="AF492553" s="36"/>
    </row>
    <row r="492649" spans="31:32" x14ac:dyDescent="0.25">
      <c r="AE492649" s="34"/>
      <c r="AF492649" s="34"/>
    </row>
    <row r="492657" spans="31:32" x14ac:dyDescent="0.25">
      <c r="AE492657" s="36"/>
      <c r="AF492657" s="36"/>
    </row>
    <row r="492753" spans="31:32" x14ac:dyDescent="0.25">
      <c r="AE492753" s="34"/>
      <c r="AF492753" s="34"/>
    </row>
    <row r="492761" spans="31:32" x14ac:dyDescent="0.25">
      <c r="AE492761" s="36"/>
      <c r="AF492761" s="36"/>
    </row>
    <row r="492857" spans="31:32" x14ac:dyDescent="0.25">
      <c r="AE492857" s="34"/>
      <c r="AF492857" s="34"/>
    </row>
    <row r="492865" spans="31:32" x14ac:dyDescent="0.25">
      <c r="AE492865" s="36"/>
      <c r="AF492865" s="36"/>
    </row>
    <row r="492961" spans="31:32" x14ac:dyDescent="0.25">
      <c r="AE492961" s="34"/>
      <c r="AF492961" s="34"/>
    </row>
    <row r="492969" spans="31:32" x14ac:dyDescent="0.25">
      <c r="AE492969" s="36"/>
      <c r="AF492969" s="36"/>
    </row>
    <row r="493065" spans="31:32" x14ac:dyDescent="0.25">
      <c r="AE493065" s="34"/>
      <c r="AF493065" s="34"/>
    </row>
    <row r="493073" spans="31:32" x14ac:dyDescent="0.25">
      <c r="AE493073" s="36"/>
      <c r="AF493073" s="36"/>
    </row>
    <row r="493169" spans="31:32" x14ac:dyDescent="0.25">
      <c r="AE493169" s="34"/>
      <c r="AF493169" s="34"/>
    </row>
    <row r="493177" spans="31:32" x14ac:dyDescent="0.25">
      <c r="AE493177" s="36"/>
      <c r="AF493177" s="36"/>
    </row>
    <row r="493273" spans="31:32" x14ac:dyDescent="0.25">
      <c r="AE493273" s="34"/>
      <c r="AF493273" s="34"/>
    </row>
    <row r="493281" spans="31:32" x14ac:dyDescent="0.25">
      <c r="AE493281" s="36"/>
      <c r="AF493281" s="36"/>
    </row>
    <row r="493377" spans="31:32" x14ac:dyDescent="0.25">
      <c r="AE493377" s="34"/>
      <c r="AF493377" s="34"/>
    </row>
    <row r="493385" spans="31:32" x14ac:dyDescent="0.25">
      <c r="AE493385" s="36"/>
      <c r="AF493385" s="36"/>
    </row>
    <row r="493481" spans="31:32" x14ac:dyDescent="0.25">
      <c r="AE493481" s="34"/>
      <c r="AF493481" s="34"/>
    </row>
    <row r="493489" spans="31:32" x14ac:dyDescent="0.25">
      <c r="AE493489" s="36"/>
      <c r="AF493489" s="36"/>
    </row>
    <row r="493585" spans="31:32" x14ac:dyDescent="0.25">
      <c r="AE493585" s="34"/>
      <c r="AF493585" s="34"/>
    </row>
    <row r="493593" spans="31:32" x14ac:dyDescent="0.25">
      <c r="AE493593" s="36"/>
      <c r="AF493593" s="36"/>
    </row>
    <row r="493689" spans="31:32" x14ac:dyDescent="0.25">
      <c r="AE493689" s="34"/>
      <c r="AF493689" s="34"/>
    </row>
    <row r="493697" spans="31:32" x14ac:dyDescent="0.25">
      <c r="AE493697" s="36"/>
      <c r="AF493697" s="36"/>
    </row>
    <row r="493793" spans="31:32" x14ac:dyDescent="0.25">
      <c r="AE493793" s="34"/>
      <c r="AF493793" s="34"/>
    </row>
    <row r="493801" spans="31:32" x14ac:dyDescent="0.25">
      <c r="AE493801" s="36"/>
      <c r="AF493801" s="36"/>
    </row>
    <row r="493897" spans="31:32" x14ac:dyDescent="0.25">
      <c r="AE493897" s="34"/>
      <c r="AF493897" s="34"/>
    </row>
    <row r="493905" spans="31:32" x14ac:dyDescent="0.25">
      <c r="AE493905" s="36"/>
      <c r="AF493905" s="36"/>
    </row>
    <row r="494001" spans="31:32" x14ac:dyDescent="0.25">
      <c r="AE494001" s="34"/>
      <c r="AF494001" s="34"/>
    </row>
    <row r="494009" spans="31:32" x14ac:dyDescent="0.25">
      <c r="AE494009" s="36"/>
      <c r="AF494009" s="36"/>
    </row>
    <row r="494105" spans="31:32" x14ac:dyDescent="0.25">
      <c r="AE494105" s="34"/>
      <c r="AF494105" s="34"/>
    </row>
    <row r="494113" spans="31:32" x14ac:dyDescent="0.25">
      <c r="AE494113" s="36"/>
      <c r="AF494113" s="36"/>
    </row>
    <row r="494209" spans="31:32" x14ac:dyDescent="0.25">
      <c r="AE494209" s="34"/>
      <c r="AF494209" s="34"/>
    </row>
    <row r="494217" spans="31:32" x14ac:dyDescent="0.25">
      <c r="AE494217" s="36"/>
      <c r="AF494217" s="36"/>
    </row>
    <row r="494313" spans="31:32" x14ac:dyDescent="0.25">
      <c r="AE494313" s="34"/>
      <c r="AF494313" s="34"/>
    </row>
    <row r="494321" spans="31:32" x14ac:dyDescent="0.25">
      <c r="AE494321" s="36"/>
      <c r="AF494321" s="36"/>
    </row>
    <row r="494417" spans="31:32" x14ac:dyDescent="0.25">
      <c r="AE494417" s="34"/>
      <c r="AF494417" s="34"/>
    </row>
    <row r="494425" spans="31:32" x14ac:dyDescent="0.25">
      <c r="AE494425" s="36"/>
      <c r="AF494425" s="36"/>
    </row>
    <row r="494521" spans="31:32" x14ac:dyDescent="0.25">
      <c r="AE494521" s="34"/>
      <c r="AF494521" s="34"/>
    </row>
    <row r="494529" spans="31:32" x14ac:dyDescent="0.25">
      <c r="AE494529" s="36"/>
      <c r="AF494529" s="36"/>
    </row>
    <row r="494625" spans="31:32" x14ac:dyDescent="0.25">
      <c r="AE494625" s="34"/>
      <c r="AF494625" s="34"/>
    </row>
    <row r="494633" spans="31:32" x14ac:dyDescent="0.25">
      <c r="AE494633" s="36"/>
      <c r="AF494633" s="36"/>
    </row>
    <row r="494729" spans="31:32" x14ac:dyDescent="0.25">
      <c r="AE494729" s="34"/>
      <c r="AF494729" s="34"/>
    </row>
    <row r="494737" spans="31:32" x14ac:dyDescent="0.25">
      <c r="AE494737" s="36"/>
      <c r="AF494737" s="36"/>
    </row>
    <row r="494833" spans="31:32" x14ac:dyDescent="0.25">
      <c r="AE494833" s="34"/>
      <c r="AF494833" s="34"/>
    </row>
    <row r="494841" spans="31:32" x14ac:dyDescent="0.25">
      <c r="AE494841" s="36"/>
      <c r="AF494841" s="36"/>
    </row>
    <row r="494937" spans="31:32" x14ac:dyDescent="0.25">
      <c r="AE494937" s="34"/>
      <c r="AF494937" s="34"/>
    </row>
    <row r="494945" spans="31:32" x14ac:dyDescent="0.25">
      <c r="AE494945" s="36"/>
      <c r="AF494945" s="36"/>
    </row>
    <row r="495041" spans="31:32" x14ac:dyDescent="0.25">
      <c r="AE495041" s="34"/>
      <c r="AF495041" s="34"/>
    </row>
    <row r="495049" spans="31:32" x14ac:dyDescent="0.25">
      <c r="AE495049" s="36"/>
      <c r="AF495049" s="36"/>
    </row>
    <row r="495145" spans="31:32" x14ac:dyDescent="0.25">
      <c r="AE495145" s="34"/>
      <c r="AF495145" s="34"/>
    </row>
    <row r="495153" spans="31:32" x14ac:dyDescent="0.25">
      <c r="AE495153" s="36"/>
      <c r="AF495153" s="36"/>
    </row>
    <row r="495249" spans="31:32" x14ac:dyDescent="0.25">
      <c r="AE495249" s="34"/>
      <c r="AF495249" s="34"/>
    </row>
    <row r="495257" spans="31:32" x14ac:dyDescent="0.25">
      <c r="AE495257" s="36"/>
      <c r="AF495257" s="36"/>
    </row>
    <row r="495353" spans="31:32" x14ac:dyDescent="0.25">
      <c r="AE495353" s="34"/>
      <c r="AF495353" s="34"/>
    </row>
    <row r="495361" spans="31:32" x14ac:dyDescent="0.25">
      <c r="AE495361" s="36"/>
      <c r="AF495361" s="36"/>
    </row>
    <row r="495457" spans="31:32" x14ac:dyDescent="0.25">
      <c r="AE495457" s="34"/>
      <c r="AF495457" s="34"/>
    </row>
    <row r="495465" spans="31:32" x14ac:dyDescent="0.25">
      <c r="AE495465" s="36"/>
      <c r="AF495465" s="36"/>
    </row>
    <row r="495561" spans="31:32" x14ac:dyDescent="0.25">
      <c r="AE495561" s="34"/>
      <c r="AF495561" s="34"/>
    </row>
    <row r="495569" spans="31:32" x14ac:dyDescent="0.25">
      <c r="AE495569" s="36"/>
      <c r="AF495569" s="36"/>
    </row>
    <row r="495665" spans="31:32" x14ac:dyDescent="0.25">
      <c r="AE495665" s="34"/>
      <c r="AF495665" s="34"/>
    </row>
    <row r="495673" spans="31:32" x14ac:dyDescent="0.25">
      <c r="AE495673" s="36"/>
      <c r="AF495673" s="36"/>
    </row>
    <row r="495769" spans="31:32" x14ac:dyDescent="0.25">
      <c r="AE495769" s="34"/>
      <c r="AF495769" s="34"/>
    </row>
    <row r="495777" spans="31:32" x14ac:dyDescent="0.25">
      <c r="AE495777" s="36"/>
      <c r="AF495777" s="36"/>
    </row>
    <row r="495873" spans="31:32" x14ac:dyDescent="0.25">
      <c r="AE495873" s="34"/>
      <c r="AF495873" s="34"/>
    </row>
    <row r="495881" spans="31:32" x14ac:dyDescent="0.25">
      <c r="AE495881" s="36"/>
      <c r="AF495881" s="36"/>
    </row>
    <row r="495977" spans="31:32" x14ac:dyDescent="0.25">
      <c r="AE495977" s="34"/>
      <c r="AF495977" s="34"/>
    </row>
    <row r="495985" spans="31:32" x14ac:dyDescent="0.25">
      <c r="AE495985" s="36"/>
      <c r="AF495985" s="36"/>
    </row>
    <row r="496081" spans="31:32" x14ac:dyDescent="0.25">
      <c r="AE496081" s="34"/>
      <c r="AF496081" s="34"/>
    </row>
    <row r="496089" spans="31:32" x14ac:dyDescent="0.25">
      <c r="AE496089" s="36"/>
      <c r="AF496089" s="36"/>
    </row>
    <row r="496185" spans="31:32" x14ac:dyDescent="0.25">
      <c r="AE496185" s="34"/>
      <c r="AF496185" s="34"/>
    </row>
    <row r="496193" spans="31:32" x14ac:dyDescent="0.25">
      <c r="AE496193" s="36"/>
      <c r="AF496193" s="36"/>
    </row>
    <row r="496289" spans="31:32" x14ac:dyDescent="0.25">
      <c r="AE496289" s="34"/>
      <c r="AF496289" s="34"/>
    </row>
    <row r="496297" spans="31:32" x14ac:dyDescent="0.25">
      <c r="AE496297" s="36"/>
      <c r="AF496297" s="36"/>
    </row>
    <row r="496393" spans="31:32" x14ac:dyDescent="0.25">
      <c r="AE496393" s="34"/>
      <c r="AF496393" s="34"/>
    </row>
    <row r="496401" spans="31:32" x14ac:dyDescent="0.25">
      <c r="AE496401" s="36"/>
      <c r="AF496401" s="36"/>
    </row>
    <row r="496497" spans="31:32" x14ac:dyDescent="0.25">
      <c r="AE496497" s="34"/>
      <c r="AF496497" s="34"/>
    </row>
    <row r="496505" spans="31:32" x14ac:dyDescent="0.25">
      <c r="AE496505" s="36"/>
      <c r="AF496505" s="36"/>
    </row>
    <row r="496601" spans="31:32" x14ac:dyDescent="0.25">
      <c r="AE496601" s="34"/>
      <c r="AF496601" s="34"/>
    </row>
    <row r="496609" spans="31:32" x14ac:dyDescent="0.25">
      <c r="AE496609" s="36"/>
      <c r="AF496609" s="36"/>
    </row>
    <row r="496705" spans="31:32" x14ac:dyDescent="0.25">
      <c r="AE496705" s="34"/>
      <c r="AF496705" s="34"/>
    </row>
    <row r="496713" spans="31:32" x14ac:dyDescent="0.25">
      <c r="AE496713" s="36"/>
      <c r="AF496713" s="36"/>
    </row>
    <row r="496809" spans="31:32" x14ac:dyDescent="0.25">
      <c r="AE496809" s="34"/>
      <c r="AF496809" s="34"/>
    </row>
    <row r="496817" spans="31:32" x14ac:dyDescent="0.25">
      <c r="AE496817" s="36"/>
      <c r="AF496817" s="36"/>
    </row>
    <row r="496913" spans="31:32" x14ac:dyDescent="0.25">
      <c r="AE496913" s="34"/>
      <c r="AF496913" s="34"/>
    </row>
    <row r="496921" spans="31:32" x14ac:dyDescent="0.25">
      <c r="AE496921" s="36"/>
      <c r="AF496921" s="36"/>
    </row>
    <row r="497017" spans="31:32" x14ac:dyDescent="0.25">
      <c r="AE497017" s="34"/>
      <c r="AF497017" s="34"/>
    </row>
    <row r="497025" spans="31:32" x14ac:dyDescent="0.25">
      <c r="AE497025" s="36"/>
      <c r="AF497025" s="36"/>
    </row>
    <row r="497121" spans="31:32" x14ac:dyDescent="0.25">
      <c r="AE497121" s="34"/>
      <c r="AF497121" s="34"/>
    </row>
    <row r="497129" spans="31:32" x14ac:dyDescent="0.25">
      <c r="AE497129" s="36"/>
      <c r="AF497129" s="36"/>
    </row>
    <row r="497225" spans="31:32" x14ac:dyDescent="0.25">
      <c r="AE497225" s="34"/>
      <c r="AF497225" s="34"/>
    </row>
    <row r="497233" spans="31:32" x14ac:dyDescent="0.25">
      <c r="AE497233" s="36"/>
      <c r="AF497233" s="36"/>
    </row>
    <row r="497329" spans="31:32" x14ac:dyDescent="0.25">
      <c r="AE497329" s="34"/>
      <c r="AF497329" s="34"/>
    </row>
    <row r="497337" spans="31:32" x14ac:dyDescent="0.25">
      <c r="AE497337" s="36"/>
      <c r="AF497337" s="36"/>
    </row>
    <row r="497433" spans="31:32" x14ac:dyDescent="0.25">
      <c r="AE497433" s="34"/>
      <c r="AF497433" s="34"/>
    </row>
    <row r="497441" spans="31:32" x14ac:dyDescent="0.25">
      <c r="AE497441" s="36"/>
      <c r="AF497441" s="36"/>
    </row>
    <row r="497537" spans="31:32" x14ac:dyDescent="0.25">
      <c r="AE497537" s="34"/>
      <c r="AF497537" s="34"/>
    </row>
    <row r="497545" spans="31:32" x14ac:dyDescent="0.25">
      <c r="AE497545" s="36"/>
      <c r="AF497545" s="36"/>
    </row>
    <row r="497641" spans="31:32" x14ac:dyDescent="0.25">
      <c r="AE497641" s="34"/>
      <c r="AF497641" s="34"/>
    </row>
    <row r="497649" spans="31:32" x14ac:dyDescent="0.25">
      <c r="AE497649" s="36"/>
      <c r="AF497649" s="36"/>
    </row>
    <row r="497745" spans="31:32" x14ac:dyDescent="0.25">
      <c r="AE497745" s="34"/>
      <c r="AF497745" s="34"/>
    </row>
    <row r="497753" spans="31:32" x14ac:dyDescent="0.25">
      <c r="AE497753" s="36"/>
      <c r="AF497753" s="36"/>
    </row>
    <row r="497849" spans="31:32" x14ac:dyDescent="0.25">
      <c r="AE497849" s="34"/>
      <c r="AF497849" s="34"/>
    </row>
    <row r="497857" spans="31:32" x14ac:dyDescent="0.25">
      <c r="AE497857" s="36"/>
      <c r="AF497857" s="36"/>
    </row>
    <row r="497953" spans="31:32" x14ac:dyDescent="0.25">
      <c r="AE497953" s="34"/>
      <c r="AF497953" s="34"/>
    </row>
    <row r="497961" spans="31:32" x14ac:dyDescent="0.25">
      <c r="AE497961" s="36"/>
      <c r="AF497961" s="36"/>
    </row>
    <row r="498057" spans="31:32" x14ac:dyDescent="0.25">
      <c r="AE498057" s="34"/>
      <c r="AF498057" s="34"/>
    </row>
    <row r="498065" spans="31:32" x14ac:dyDescent="0.25">
      <c r="AE498065" s="36"/>
      <c r="AF498065" s="36"/>
    </row>
    <row r="498161" spans="31:32" x14ac:dyDescent="0.25">
      <c r="AE498161" s="34"/>
      <c r="AF498161" s="34"/>
    </row>
    <row r="498169" spans="31:32" x14ac:dyDescent="0.25">
      <c r="AE498169" s="36"/>
      <c r="AF498169" s="36"/>
    </row>
    <row r="498265" spans="31:32" x14ac:dyDescent="0.25">
      <c r="AE498265" s="34"/>
      <c r="AF498265" s="34"/>
    </row>
    <row r="498273" spans="31:32" x14ac:dyDescent="0.25">
      <c r="AE498273" s="36"/>
      <c r="AF498273" s="36"/>
    </row>
    <row r="498369" spans="31:32" x14ac:dyDescent="0.25">
      <c r="AE498369" s="34"/>
      <c r="AF498369" s="34"/>
    </row>
    <row r="498377" spans="31:32" x14ac:dyDescent="0.25">
      <c r="AE498377" s="36"/>
      <c r="AF498377" s="36"/>
    </row>
    <row r="498473" spans="31:32" x14ac:dyDescent="0.25">
      <c r="AE498473" s="34"/>
      <c r="AF498473" s="34"/>
    </row>
    <row r="498481" spans="31:32" x14ac:dyDescent="0.25">
      <c r="AE498481" s="36"/>
      <c r="AF498481" s="36"/>
    </row>
    <row r="498577" spans="31:32" x14ac:dyDescent="0.25">
      <c r="AE498577" s="34"/>
      <c r="AF498577" s="34"/>
    </row>
    <row r="498585" spans="31:32" x14ac:dyDescent="0.25">
      <c r="AE498585" s="36"/>
      <c r="AF498585" s="36"/>
    </row>
    <row r="498681" spans="31:32" x14ac:dyDescent="0.25">
      <c r="AE498681" s="34"/>
      <c r="AF498681" s="34"/>
    </row>
    <row r="498689" spans="31:32" x14ac:dyDescent="0.25">
      <c r="AE498689" s="36"/>
      <c r="AF498689" s="36"/>
    </row>
    <row r="498785" spans="31:32" x14ac:dyDescent="0.25">
      <c r="AE498785" s="34"/>
      <c r="AF498785" s="34"/>
    </row>
    <row r="498793" spans="31:32" x14ac:dyDescent="0.25">
      <c r="AE498793" s="36"/>
      <c r="AF498793" s="36"/>
    </row>
    <row r="498889" spans="31:32" x14ac:dyDescent="0.25">
      <c r="AE498889" s="34"/>
      <c r="AF498889" s="34"/>
    </row>
    <row r="498897" spans="31:32" x14ac:dyDescent="0.25">
      <c r="AE498897" s="36"/>
      <c r="AF498897" s="36"/>
    </row>
    <row r="498993" spans="31:32" x14ac:dyDescent="0.25">
      <c r="AE498993" s="34"/>
      <c r="AF498993" s="34"/>
    </row>
    <row r="499001" spans="31:32" x14ac:dyDescent="0.25">
      <c r="AE499001" s="36"/>
      <c r="AF499001" s="36"/>
    </row>
    <row r="499097" spans="31:32" x14ac:dyDescent="0.25">
      <c r="AE499097" s="34"/>
      <c r="AF499097" s="34"/>
    </row>
    <row r="499105" spans="31:32" x14ac:dyDescent="0.25">
      <c r="AE499105" s="36"/>
      <c r="AF499105" s="36"/>
    </row>
    <row r="499201" spans="31:32" x14ac:dyDescent="0.25">
      <c r="AE499201" s="34"/>
      <c r="AF499201" s="34"/>
    </row>
    <row r="499209" spans="31:32" x14ac:dyDescent="0.25">
      <c r="AE499209" s="36"/>
      <c r="AF499209" s="36"/>
    </row>
    <row r="499305" spans="31:32" x14ac:dyDescent="0.25">
      <c r="AE499305" s="34"/>
      <c r="AF499305" s="34"/>
    </row>
    <row r="499313" spans="31:32" x14ac:dyDescent="0.25">
      <c r="AE499313" s="36"/>
      <c r="AF499313" s="36"/>
    </row>
    <row r="499409" spans="31:32" x14ac:dyDescent="0.25">
      <c r="AE499409" s="34"/>
      <c r="AF499409" s="34"/>
    </row>
    <row r="499417" spans="31:32" x14ac:dyDescent="0.25">
      <c r="AE499417" s="36"/>
      <c r="AF499417" s="36"/>
    </row>
    <row r="499513" spans="31:32" x14ac:dyDescent="0.25">
      <c r="AE499513" s="34"/>
      <c r="AF499513" s="34"/>
    </row>
    <row r="499521" spans="31:32" x14ac:dyDescent="0.25">
      <c r="AE499521" s="36"/>
      <c r="AF499521" s="36"/>
    </row>
    <row r="499617" spans="31:32" x14ac:dyDescent="0.25">
      <c r="AE499617" s="34"/>
      <c r="AF499617" s="34"/>
    </row>
    <row r="499625" spans="31:32" x14ac:dyDescent="0.25">
      <c r="AE499625" s="36"/>
      <c r="AF499625" s="36"/>
    </row>
    <row r="499721" spans="31:32" x14ac:dyDescent="0.25">
      <c r="AE499721" s="34"/>
      <c r="AF499721" s="34"/>
    </row>
    <row r="499729" spans="31:32" x14ac:dyDescent="0.25">
      <c r="AE499729" s="36"/>
      <c r="AF499729" s="36"/>
    </row>
    <row r="499825" spans="31:32" x14ac:dyDescent="0.25">
      <c r="AE499825" s="34"/>
      <c r="AF499825" s="34"/>
    </row>
    <row r="499833" spans="31:32" x14ac:dyDescent="0.25">
      <c r="AE499833" s="36"/>
      <c r="AF499833" s="36"/>
    </row>
    <row r="499929" spans="31:32" x14ac:dyDescent="0.25">
      <c r="AE499929" s="34"/>
      <c r="AF499929" s="34"/>
    </row>
    <row r="499937" spans="31:32" x14ac:dyDescent="0.25">
      <c r="AE499937" s="36"/>
      <c r="AF499937" s="36"/>
    </row>
    <row r="500033" spans="31:32" x14ac:dyDescent="0.25">
      <c r="AE500033" s="34"/>
      <c r="AF500033" s="34"/>
    </row>
    <row r="500041" spans="31:32" x14ac:dyDescent="0.25">
      <c r="AE500041" s="36"/>
      <c r="AF500041" s="36"/>
    </row>
    <row r="500137" spans="31:32" x14ac:dyDescent="0.25">
      <c r="AE500137" s="34"/>
      <c r="AF500137" s="34"/>
    </row>
    <row r="500145" spans="31:32" x14ac:dyDescent="0.25">
      <c r="AE500145" s="36"/>
      <c r="AF500145" s="36"/>
    </row>
    <row r="500241" spans="31:32" x14ac:dyDescent="0.25">
      <c r="AE500241" s="34"/>
      <c r="AF500241" s="34"/>
    </row>
    <row r="500249" spans="31:32" x14ac:dyDescent="0.25">
      <c r="AE500249" s="36"/>
      <c r="AF500249" s="36"/>
    </row>
    <row r="500345" spans="31:32" x14ac:dyDescent="0.25">
      <c r="AE500345" s="34"/>
      <c r="AF500345" s="34"/>
    </row>
    <row r="500353" spans="31:32" x14ac:dyDescent="0.25">
      <c r="AE500353" s="36"/>
      <c r="AF500353" s="36"/>
    </row>
    <row r="500449" spans="31:32" x14ac:dyDescent="0.25">
      <c r="AE500449" s="34"/>
      <c r="AF500449" s="34"/>
    </row>
    <row r="500457" spans="31:32" x14ac:dyDescent="0.25">
      <c r="AE500457" s="36"/>
      <c r="AF500457" s="36"/>
    </row>
    <row r="500553" spans="31:32" x14ac:dyDescent="0.25">
      <c r="AE500553" s="34"/>
      <c r="AF500553" s="34"/>
    </row>
    <row r="500561" spans="31:32" x14ac:dyDescent="0.25">
      <c r="AE500561" s="36"/>
      <c r="AF500561" s="36"/>
    </row>
    <row r="500657" spans="31:32" x14ac:dyDescent="0.25">
      <c r="AE500657" s="34"/>
      <c r="AF500657" s="34"/>
    </row>
    <row r="500665" spans="31:32" x14ac:dyDescent="0.25">
      <c r="AE500665" s="36"/>
      <c r="AF500665" s="36"/>
    </row>
    <row r="500761" spans="31:32" x14ac:dyDescent="0.25">
      <c r="AE500761" s="34"/>
      <c r="AF500761" s="34"/>
    </row>
    <row r="500769" spans="31:32" x14ac:dyDescent="0.25">
      <c r="AE500769" s="36"/>
      <c r="AF500769" s="36"/>
    </row>
    <row r="500865" spans="31:32" x14ac:dyDescent="0.25">
      <c r="AE500865" s="34"/>
      <c r="AF500865" s="34"/>
    </row>
    <row r="500873" spans="31:32" x14ac:dyDescent="0.25">
      <c r="AE500873" s="36"/>
      <c r="AF500873" s="36"/>
    </row>
    <row r="500969" spans="31:32" x14ac:dyDescent="0.25">
      <c r="AE500969" s="34"/>
      <c r="AF500969" s="34"/>
    </row>
    <row r="500977" spans="31:32" x14ac:dyDescent="0.25">
      <c r="AE500977" s="36"/>
      <c r="AF500977" s="36"/>
    </row>
    <row r="501073" spans="31:32" x14ac:dyDescent="0.25">
      <c r="AE501073" s="34"/>
      <c r="AF501073" s="34"/>
    </row>
    <row r="501081" spans="31:32" x14ac:dyDescent="0.25">
      <c r="AE501081" s="36"/>
      <c r="AF501081" s="36"/>
    </row>
    <row r="501177" spans="31:32" x14ac:dyDescent="0.25">
      <c r="AE501177" s="34"/>
      <c r="AF501177" s="34"/>
    </row>
    <row r="501185" spans="31:32" x14ac:dyDescent="0.25">
      <c r="AE501185" s="36"/>
      <c r="AF501185" s="36"/>
    </row>
    <row r="501281" spans="31:32" x14ac:dyDescent="0.25">
      <c r="AE501281" s="34"/>
      <c r="AF501281" s="34"/>
    </row>
    <row r="501289" spans="31:32" x14ac:dyDescent="0.25">
      <c r="AE501289" s="36"/>
      <c r="AF501289" s="36"/>
    </row>
    <row r="501385" spans="31:32" x14ac:dyDescent="0.25">
      <c r="AE501385" s="34"/>
      <c r="AF501385" s="34"/>
    </row>
    <row r="501393" spans="31:32" x14ac:dyDescent="0.25">
      <c r="AE501393" s="36"/>
      <c r="AF501393" s="36"/>
    </row>
    <row r="501489" spans="31:32" x14ac:dyDescent="0.25">
      <c r="AE501489" s="34"/>
      <c r="AF501489" s="34"/>
    </row>
    <row r="501497" spans="31:32" x14ac:dyDescent="0.25">
      <c r="AE501497" s="36"/>
      <c r="AF501497" s="36"/>
    </row>
    <row r="501593" spans="31:32" x14ac:dyDescent="0.25">
      <c r="AE501593" s="34"/>
      <c r="AF501593" s="34"/>
    </row>
    <row r="501601" spans="31:32" x14ac:dyDescent="0.25">
      <c r="AE501601" s="36"/>
      <c r="AF501601" s="36"/>
    </row>
    <row r="501697" spans="31:32" x14ac:dyDescent="0.25">
      <c r="AE501697" s="34"/>
      <c r="AF501697" s="34"/>
    </row>
    <row r="501705" spans="31:32" x14ac:dyDescent="0.25">
      <c r="AE501705" s="36"/>
      <c r="AF501705" s="36"/>
    </row>
    <row r="501801" spans="31:32" x14ac:dyDescent="0.25">
      <c r="AE501801" s="34"/>
      <c r="AF501801" s="34"/>
    </row>
    <row r="501809" spans="31:32" x14ac:dyDescent="0.25">
      <c r="AE501809" s="36"/>
      <c r="AF501809" s="36"/>
    </row>
    <row r="501905" spans="31:32" x14ac:dyDescent="0.25">
      <c r="AE501905" s="34"/>
      <c r="AF501905" s="34"/>
    </row>
    <row r="501913" spans="31:32" x14ac:dyDescent="0.25">
      <c r="AE501913" s="36"/>
      <c r="AF501913" s="36"/>
    </row>
    <row r="502009" spans="31:32" x14ac:dyDescent="0.25">
      <c r="AE502009" s="34"/>
      <c r="AF502009" s="34"/>
    </row>
    <row r="502017" spans="31:32" x14ac:dyDescent="0.25">
      <c r="AE502017" s="36"/>
      <c r="AF502017" s="36"/>
    </row>
    <row r="502113" spans="31:32" x14ac:dyDescent="0.25">
      <c r="AE502113" s="34"/>
      <c r="AF502113" s="34"/>
    </row>
    <row r="502121" spans="31:32" x14ac:dyDescent="0.25">
      <c r="AE502121" s="36"/>
      <c r="AF502121" s="36"/>
    </row>
    <row r="502217" spans="31:32" x14ac:dyDescent="0.25">
      <c r="AE502217" s="34"/>
      <c r="AF502217" s="34"/>
    </row>
    <row r="502225" spans="31:32" x14ac:dyDescent="0.25">
      <c r="AE502225" s="36"/>
      <c r="AF502225" s="36"/>
    </row>
    <row r="502321" spans="31:32" x14ac:dyDescent="0.25">
      <c r="AE502321" s="34"/>
      <c r="AF502321" s="34"/>
    </row>
    <row r="502329" spans="31:32" x14ac:dyDescent="0.25">
      <c r="AE502329" s="36"/>
      <c r="AF502329" s="36"/>
    </row>
    <row r="502425" spans="31:32" x14ac:dyDescent="0.25">
      <c r="AE502425" s="34"/>
      <c r="AF502425" s="34"/>
    </row>
    <row r="502433" spans="31:32" x14ac:dyDescent="0.25">
      <c r="AE502433" s="36"/>
      <c r="AF502433" s="36"/>
    </row>
    <row r="502529" spans="31:32" x14ac:dyDescent="0.25">
      <c r="AE502529" s="34"/>
      <c r="AF502529" s="34"/>
    </row>
    <row r="502537" spans="31:32" x14ac:dyDescent="0.25">
      <c r="AE502537" s="36"/>
      <c r="AF502537" s="36"/>
    </row>
    <row r="502633" spans="31:32" x14ac:dyDescent="0.25">
      <c r="AE502633" s="34"/>
      <c r="AF502633" s="34"/>
    </row>
    <row r="502641" spans="31:32" x14ac:dyDescent="0.25">
      <c r="AE502641" s="36"/>
      <c r="AF502641" s="36"/>
    </row>
    <row r="502737" spans="31:32" x14ac:dyDescent="0.25">
      <c r="AE502737" s="34"/>
      <c r="AF502737" s="34"/>
    </row>
    <row r="502745" spans="31:32" x14ac:dyDescent="0.25">
      <c r="AE502745" s="36"/>
      <c r="AF502745" s="36"/>
    </row>
    <row r="502841" spans="31:32" x14ac:dyDescent="0.25">
      <c r="AE502841" s="34"/>
      <c r="AF502841" s="34"/>
    </row>
    <row r="502849" spans="31:32" x14ac:dyDescent="0.25">
      <c r="AE502849" s="36"/>
      <c r="AF502849" s="36"/>
    </row>
    <row r="502945" spans="31:32" x14ac:dyDescent="0.25">
      <c r="AE502945" s="34"/>
      <c r="AF502945" s="34"/>
    </row>
    <row r="502953" spans="31:32" x14ac:dyDescent="0.25">
      <c r="AE502953" s="36"/>
      <c r="AF502953" s="36"/>
    </row>
    <row r="503049" spans="31:32" x14ac:dyDescent="0.25">
      <c r="AE503049" s="34"/>
      <c r="AF503049" s="34"/>
    </row>
    <row r="503057" spans="31:32" x14ac:dyDescent="0.25">
      <c r="AE503057" s="36"/>
      <c r="AF503057" s="36"/>
    </row>
    <row r="503153" spans="31:32" x14ac:dyDescent="0.25">
      <c r="AE503153" s="34"/>
      <c r="AF503153" s="34"/>
    </row>
    <row r="503161" spans="31:32" x14ac:dyDescent="0.25">
      <c r="AE503161" s="36"/>
      <c r="AF503161" s="36"/>
    </row>
    <row r="503257" spans="31:32" x14ac:dyDescent="0.25">
      <c r="AE503257" s="34"/>
      <c r="AF503257" s="34"/>
    </row>
    <row r="503265" spans="31:32" x14ac:dyDescent="0.25">
      <c r="AE503265" s="36"/>
      <c r="AF503265" s="36"/>
    </row>
    <row r="503361" spans="31:32" x14ac:dyDescent="0.25">
      <c r="AE503361" s="34"/>
      <c r="AF503361" s="34"/>
    </row>
    <row r="503369" spans="31:32" x14ac:dyDescent="0.25">
      <c r="AE503369" s="36"/>
      <c r="AF503369" s="36"/>
    </row>
    <row r="503465" spans="31:32" x14ac:dyDescent="0.25">
      <c r="AE503465" s="34"/>
      <c r="AF503465" s="34"/>
    </row>
    <row r="503473" spans="31:32" x14ac:dyDescent="0.25">
      <c r="AE503473" s="36"/>
      <c r="AF503473" s="36"/>
    </row>
    <row r="503569" spans="31:32" x14ac:dyDescent="0.25">
      <c r="AE503569" s="34"/>
      <c r="AF503569" s="34"/>
    </row>
    <row r="503577" spans="31:32" x14ac:dyDescent="0.25">
      <c r="AE503577" s="36"/>
      <c r="AF503577" s="36"/>
    </row>
    <row r="503673" spans="31:32" x14ac:dyDescent="0.25">
      <c r="AE503673" s="34"/>
      <c r="AF503673" s="34"/>
    </row>
    <row r="503681" spans="31:32" x14ac:dyDescent="0.25">
      <c r="AE503681" s="36"/>
      <c r="AF503681" s="36"/>
    </row>
    <row r="503777" spans="31:32" x14ac:dyDescent="0.25">
      <c r="AE503777" s="34"/>
      <c r="AF503777" s="34"/>
    </row>
    <row r="503785" spans="31:32" x14ac:dyDescent="0.25">
      <c r="AE503785" s="36"/>
      <c r="AF503785" s="36"/>
    </row>
    <row r="503881" spans="31:32" x14ac:dyDescent="0.25">
      <c r="AE503881" s="34"/>
      <c r="AF503881" s="34"/>
    </row>
    <row r="503889" spans="31:32" x14ac:dyDescent="0.25">
      <c r="AE503889" s="36"/>
      <c r="AF503889" s="36"/>
    </row>
    <row r="503985" spans="31:32" x14ac:dyDescent="0.25">
      <c r="AE503985" s="34"/>
      <c r="AF503985" s="34"/>
    </row>
    <row r="503993" spans="31:32" x14ac:dyDescent="0.25">
      <c r="AE503993" s="36"/>
      <c r="AF503993" s="36"/>
    </row>
    <row r="504089" spans="31:32" x14ac:dyDescent="0.25">
      <c r="AE504089" s="34"/>
      <c r="AF504089" s="34"/>
    </row>
    <row r="504097" spans="31:32" x14ac:dyDescent="0.25">
      <c r="AE504097" s="36"/>
      <c r="AF504097" s="36"/>
    </row>
    <row r="504193" spans="31:32" x14ac:dyDescent="0.25">
      <c r="AE504193" s="34"/>
      <c r="AF504193" s="34"/>
    </row>
    <row r="504201" spans="31:32" x14ac:dyDescent="0.25">
      <c r="AE504201" s="36"/>
      <c r="AF504201" s="36"/>
    </row>
    <row r="504297" spans="31:32" x14ac:dyDescent="0.25">
      <c r="AE504297" s="34"/>
      <c r="AF504297" s="34"/>
    </row>
    <row r="504305" spans="31:32" x14ac:dyDescent="0.25">
      <c r="AE504305" s="36"/>
      <c r="AF504305" s="36"/>
    </row>
    <row r="504401" spans="31:32" x14ac:dyDescent="0.25">
      <c r="AE504401" s="34"/>
      <c r="AF504401" s="34"/>
    </row>
    <row r="504409" spans="31:32" x14ac:dyDescent="0.25">
      <c r="AE504409" s="36"/>
      <c r="AF504409" s="36"/>
    </row>
    <row r="504505" spans="31:32" x14ac:dyDescent="0.25">
      <c r="AE504505" s="34"/>
      <c r="AF504505" s="34"/>
    </row>
    <row r="504513" spans="31:32" x14ac:dyDescent="0.25">
      <c r="AE504513" s="36"/>
      <c r="AF504513" s="36"/>
    </row>
    <row r="504609" spans="31:32" x14ac:dyDescent="0.25">
      <c r="AE504609" s="34"/>
      <c r="AF504609" s="34"/>
    </row>
    <row r="504617" spans="31:32" x14ac:dyDescent="0.25">
      <c r="AE504617" s="36"/>
      <c r="AF504617" s="36"/>
    </row>
    <row r="504713" spans="31:32" x14ac:dyDescent="0.25">
      <c r="AE504713" s="34"/>
      <c r="AF504713" s="34"/>
    </row>
    <row r="504721" spans="31:32" x14ac:dyDescent="0.25">
      <c r="AE504721" s="36"/>
      <c r="AF504721" s="36"/>
    </row>
    <row r="504817" spans="31:32" x14ac:dyDescent="0.25">
      <c r="AE504817" s="34"/>
      <c r="AF504817" s="34"/>
    </row>
    <row r="504825" spans="31:32" x14ac:dyDescent="0.25">
      <c r="AE504825" s="36"/>
      <c r="AF504825" s="36"/>
    </row>
    <row r="504921" spans="31:32" x14ac:dyDescent="0.25">
      <c r="AE504921" s="34"/>
      <c r="AF504921" s="34"/>
    </row>
    <row r="504929" spans="31:32" x14ac:dyDescent="0.25">
      <c r="AE504929" s="36"/>
      <c r="AF504929" s="36"/>
    </row>
    <row r="505025" spans="31:32" x14ac:dyDescent="0.25">
      <c r="AE505025" s="34"/>
      <c r="AF505025" s="34"/>
    </row>
    <row r="505033" spans="31:32" x14ac:dyDescent="0.25">
      <c r="AE505033" s="36"/>
      <c r="AF505033" s="36"/>
    </row>
    <row r="505129" spans="31:32" x14ac:dyDescent="0.25">
      <c r="AE505129" s="34"/>
      <c r="AF505129" s="34"/>
    </row>
    <row r="505137" spans="31:32" x14ac:dyDescent="0.25">
      <c r="AE505137" s="36"/>
      <c r="AF505137" s="36"/>
    </row>
    <row r="505233" spans="31:32" x14ac:dyDescent="0.25">
      <c r="AE505233" s="34"/>
      <c r="AF505233" s="34"/>
    </row>
    <row r="505241" spans="31:32" x14ac:dyDescent="0.25">
      <c r="AE505241" s="36"/>
      <c r="AF505241" s="36"/>
    </row>
    <row r="505337" spans="31:32" x14ac:dyDescent="0.25">
      <c r="AE505337" s="34"/>
      <c r="AF505337" s="34"/>
    </row>
    <row r="505345" spans="31:32" x14ac:dyDescent="0.25">
      <c r="AE505345" s="36"/>
      <c r="AF505345" s="36"/>
    </row>
    <row r="505441" spans="31:32" x14ac:dyDescent="0.25">
      <c r="AE505441" s="34"/>
      <c r="AF505441" s="34"/>
    </row>
    <row r="505449" spans="31:32" x14ac:dyDescent="0.25">
      <c r="AE505449" s="36"/>
      <c r="AF505449" s="36"/>
    </row>
    <row r="505545" spans="31:32" x14ac:dyDescent="0.25">
      <c r="AE505545" s="34"/>
      <c r="AF505545" s="34"/>
    </row>
    <row r="505553" spans="31:32" x14ac:dyDescent="0.25">
      <c r="AE505553" s="36"/>
      <c r="AF505553" s="36"/>
    </row>
    <row r="505649" spans="31:32" x14ac:dyDescent="0.25">
      <c r="AE505649" s="34"/>
      <c r="AF505649" s="34"/>
    </row>
    <row r="505657" spans="31:32" x14ac:dyDescent="0.25">
      <c r="AE505657" s="36"/>
      <c r="AF505657" s="36"/>
    </row>
    <row r="505753" spans="31:32" x14ac:dyDescent="0.25">
      <c r="AE505753" s="34"/>
      <c r="AF505753" s="34"/>
    </row>
    <row r="505761" spans="31:32" x14ac:dyDescent="0.25">
      <c r="AE505761" s="36"/>
      <c r="AF505761" s="36"/>
    </row>
    <row r="505857" spans="31:32" x14ac:dyDescent="0.25">
      <c r="AE505857" s="34"/>
      <c r="AF505857" s="34"/>
    </row>
    <row r="505865" spans="31:32" x14ac:dyDescent="0.25">
      <c r="AE505865" s="36"/>
      <c r="AF505865" s="36"/>
    </row>
    <row r="505961" spans="31:32" x14ac:dyDescent="0.25">
      <c r="AE505961" s="34"/>
      <c r="AF505961" s="34"/>
    </row>
    <row r="505969" spans="31:32" x14ac:dyDescent="0.25">
      <c r="AE505969" s="36"/>
      <c r="AF505969" s="36"/>
    </row>
    <row r="506065" spans="31:32" x14ac:dyDescent="0.25">
      <c r="AE506065" s="34"/>
      <c r="AF506065" s="34"/>
    </row>
    <row r="506073" spans="31:32" x14ac:dyDescent="0.25">
      <c r="AE506073" s="36"/>
      <c r="AF506073" s="36"/>
    </row>
    <row r="506169" spans="31:32" x14ac:dyDescent="0.25">
      <c r="AE506169" s="34"/>
      <c r="AF506169" s="34"/>
    </row>
    <row r="506177" spans="31:32" x14ac:dyDescent="0.25">
      <c r="AE506177" s="36"/>
      <c r="AF506177" s="36"/>
    </row>
    <row r="506273" spans="31:32" x14ac:dyDescent="0.25">
      <c r="AE506273" s="34"/>
      <c r="AF506273" s="34"/>
    </row>
    <row r="506281" spans="31:32" x14ac:dyDescent="0.25">
      <c r="AE506281" s="36"/>
      <c r="AF506281" s="36"/>
    </row>
    <row r="506377" spans="31:32" x14ac:dyDescent="0.25">
      <c r="AE506377" s="34"/>
      <c r="AF506377" s="34"/>
    </row>
    <row r="506385" spans="31:32" x14ac:dyDescent="0.25">
      <c r="AE506385" s="36"/>
      <c r="AF506385" s="36"/>
    </row>
    <row r="506481" spans="31:32" x14ac:dyDescent="0.25">
      <c r="AE506481" s="34"/>
      <c r="AF506481" s="34"/>
    </row>
    <row r="506489" spans="31:32" x14ac:dyDescent="0.25">
      <c r="AE506489" s="36"/>
      <c r="AF506489" s="36"/>
    </row>
    <row r="506585" spans="31:32" x14ac:dyDescent="0.25">
      <c r="AE506585" s="34"/>
      <c r="AF506585" s="34"/>
    </row>
    <row r="506593" spans="31:32" x14ac:dyDescent="0.25">
      <c r="AE506593" s="36"/>
      <c r="AF506593" s="36"/>
    </row>
    <row r="506689" spans="31:32" x14ac:dyDescent="0.25">
      <c r="AE506689" s="34"/>
      <c r="AF506689" s="34"/>
    </row>
    <row r="506697" spans="31:32" x14ac:dyDescent="0.25">
      <c r="AE506697" s="36"/>
      <c r="AF506697" s="36"/>
    </row>
    <row r="506793" spans="31:32" x14ac:dyDescent="0.25">
      <c r="AE506793" s="34"/>
      <c r="AF506793" s="34"/>
    </row>
    <row r="506801" spans="31:32" x14ac:dyDescent="0.25">
      <c r="AE506801" s="36"/>
      <c r="AF506801" s="36"/>
    </row>
    <row r="506897" spans="31:32" x14ac:dyDescent="0.25">
      <c r="AE506897" s="34"/>
      <c r="AF506897" s="34"/>
    </row>
    <row r="506905" spans="31:32" x14ac:dyDescent="0.25">
      <c r="AE506905" s="36"/>
      <c r="AF506905" s="36"/>
    </row>
    <row r="507001" spans="31:32" x14ac:dyDescent="0.25">
      <c r="AE507001" s="34"/>
      <c r="AF507001" s="34"/>
    </row>
    <row r="507009" spans="31:32" x14ac:dyDescent="0.25">
      <c r="AE507009" s="36"/>
      <c r="AF507009" s="36"/>
    </row>
    <row r="507105" spans="31:32" x14ac:dyDescent="0.25">
      <c r="AE507105" s="34"/>
      <c r="AF507105" s="34"/>
    </row>
    <row r="507113" spans="31:32" x14ac:dyDescent="0.25">
      <c r="AE507113" s="36"/>
      <c r="AF507113" s="36"/>
    </row>
    <row r="507209" spans="31:32" x14ac:dyDescent="0.25">
      <c r="AE507209" s="34"/>
      <c r="AF507209" s="34"/>
    </row>
    <row r="507217" spans="31:32" x14ac:dyDescent="0.25">
      <c r="AE507217" s="36"/>
      <c r="AF507217" s="36"/>
    </row>
    <row r="507313" spans="31:32" x14ac:dyDescent="0.25">
      <c r="AE507313" s="34"/>
      <c r="AF507313" s="34"/>
    </row>
    <row r="507321" spans="31:32" x14ac:dyDescent="0.25">
      <c r="AE507321" s="36"/>
      <c r="AF507321" s="36"/>
    </row>
    <row r="507417" spans="31:32" x14ac:dyDescent="0.25">
      <c r="AE507417" s="34"/>
      <c r="AF507417" s="34"/>
    </row>
    <row r="507425" spans="31:32" x14ac:dyDescent="0.25">
      <c r="AE507425" s="36"/>
      <c r="AF507425" s="36"/>
    </row>
    <row r="507521" spans="31:32" x14ac:dyDescent="0.25">
      <c r="AE507521" s="34"/>
      <c r="AF507521" s="34"/>
    </row>
    <row r="507529" spans="31:32" x14ac:dyDescent="0.25">
      <c r="AE507529" s="36"/>
      <c r="AF507529" s="36"/>
    </row>
    <row r="507625" spans="31:32" x14ac:dyDescent="0.25">
      <c r="AE507625" s="34"/>
      <c r="AF507625" s="34"/>
    </row>
    <row r="507633" spans="31:32" x14ac:dyDescent="0.25">
      <c r="AE507633" s="36"/>
      <c r="AF507633" s="36"/>
    </row>
    <row r="507729" spans="31:32" x14ac:dyDescent="0.25">
      <c r="AE507729" s="34"/>
      <c r="AF507729" s="34"/>
    </row>
    <row r="507737" spans="31:32" x14ac:dyDescent="0.25">
      <c r="AE507737" s="36"/>
      <c r="AF507737" s="36"/>
    </row>
    <row r="507833" spans="31:32" x14ac:dyDescent="0.25">
      <c r="AE507833" s="34"/>
      <c r="AF507833" s="34"/>
    </row>
    <row r="507841" spans="31:32" x14ac:dyDescent="0.25">
      <c r="AE507841" s="36"/>
      <c r="AF507841" s="36"/>
    </row>
    <row r="507937" spans="31:32" x14ac:dyDescent="0.25">
      <c r="AE507937" s="34"/>
      <c r="AF507937" s="34"/>
    </row>
    <row r="507945" spans="31:32" x14ac:dyDescent="0.25">
      <c r="AE507945" s="36"/>
      <c r="AF507945" s="36"/>
    </row>
    <row r="508041" spans="31:32" x14ac:dyDescent="0.25">
      <c r="AE508041" s="34"/>
      <c r="AF508041" s="34"/>
    </row>
    <row r="508049" spans="31:32" x14ac:dyDescent="0.25">
      <c r="AE508049" s="36"/>
      <c r="AF508049" s="36"/>
    </row>
    <row r="508145" spans="31:32" x14ac:dyDescent="0.25">
      <c r="AE508145" s="34"/>
      <c r="AF508145" s="34"/>
    </row>
    <row r="508153" spans="31:32" x14ac:dyDescent="0.25">
      <c r="AE508153" s="36"/>
      <c r="AF508153" s="36"/>
    </row>
    <row r="508249" spans="31:32" x14ac:dyDescent="0.25">
      <c r="AE508249" s="34"/>
      <c r="AF508249" s="34"/>
    </row>
    <row r="508257" spans="31:32" x14ac:dyDescent="0.25">
      <c r="AE508257" s="36"/>
      <c r="AF508257" s="36"/>
    </row>
    <row r="508353" spans="31:32" x14ac:dyDescent="0.25">
      <c r="AE508353" s="34"/>
      <c r="AF508353" s="34"/>
    </row>
    <row r="508361" spans="31:32" x14ac:dyDescent="0.25">
      <c r="AE508361" s="36"/>
      <c r="AF508361" s="36"/>
    </row>
    <row r="508457" spans="31:32" x14ac:dyDescent="0.25">
      <c r="AE508457" s="34"/>
      <c r="AF508457" s="34"/>
    </row>
    <row r="508465" spans="31:32" x14ac:dyDescent="0.25">
      <c r="AE508465" s="36"/>
      <c r="AF508465" s="36"/>
    </row>
    <row r="508561" spans="31:32" x14ac:dyDescent="0.25">
      <c r="AE508561" s="34"/>
      <c r="AF508561" s="34"/>
    </row>
    <row r="508569" spans="31:32" x14ac:dyDescent="0.25">
      <c r="AE508569" s="36"/>
      <c r="AF508569" s="36"/>
    </row>
    <row r="508665" spans="31:32" x14ac:dyDescent="0.25">
      <c r="AE508665" s="34"/>
      <c r="AF508665" s="34"/>
    </row>
    <row r="508673" spans="31:32" x14ac:dyDescent="0.25">
      <c r="AE508673" s="36"/>
      <c r="AF508673" s="36"/>
    </row>
    <row r="508769" spans="31:32" x14ac:dyDescent="0.25">
      <c r="AE508769" s="34"/>
      <c r="AF508769" s="34"/>
    </row>
    <row r="508777" spans="31:32" x14ac:dyDescent="0.25">
      <c r="AE508777" s="36"/>
      <c r="AF508777" s="36"/>
    </row>
    <row r="508873" spans="31:32" x14ac:dyDescent="0.25">
      <c r="AE508873" s="34"/>
      <c r="AF508873" s="34"/>
    </row>
    <row r="508881" spans="31:32" x14ac:dyDescent="0.25">
      <c r="AE508881" s="36"/>
      <c r="AF508881" s="36"/>
    </row>
    <row r="508977" spans="31:32" x14ac:dyDescent="0.25">
      <c r="AE508977" s="34"/>
      <c r="AF508977" s="34"/>
    </row>
    <row r="508985" spans="31:32" x14ac:dyDescent="0.25">
      <c r="AE508985" s="36"/>
      <c r="AF508985" s="36"/>
    </row>
    <row r="509081" spans="31:32" x14ac:dyDescent="0.25">
      <c r="AE509081" s="34"/>
      <c r="AF509081" s="34"/>
    </row>
    <row r="509089" spans="31:32" x14ac:dyDescent="0.25">
      <c r="AE509089" s="36"/>
      <c r="AF509089" s="36"/>
    </row>
    <row r="509185" spans="31:32" x14ac:dyDescent="0.25">
      <c r="AE509185" s="34"/>
      <c r="AF509185" s="34"/>
    </row>
    <row r="509193" spans="31:32" x14ac:dyDescent="0.25">
      <c r="AE509193" s="36"/>
      <c r="AF509193" s="36"/>
    </row>
    <row r="509289" spans="31:32" x14ac:dyDescent="0.25">
      <c r="AE509289" s="34"/>
      <c r="AF509289" s="34"/>
    </row>
    <row r="509297" spans="31:32" x14ac:dyDescent="0.25">
      <c r="AE509297" s="36"/>
      <c r="AF509297" s="36"/>
    </row>
    <row r="509393" spans="31:32" x14ac:dyDescent="0.25">
      <c r="AE509393" s="34"/>
      <c r="AF509393" s="34"/>
    </row>
    <row r="509401" spans="31:32" x14ac:dyDescent="0.25">
      <c r="AE509401" s="36"/>
      <c r="AF509401" s="36"/>
    </row>
    <row r="509497" spans="31:32" x14ac:dyDescent="0.25">
      <c r="AE509497" s="34"/>
      <c r="AF509497" s="34"/>
    </row>
    <row r="509505" spans="31:32" x14ac:dyDescent="0.25">
      <c r="AE509505" s="36"/>
      <c r="AF509505" s="36"/>
    </row>
    <row r="509601" spans="31:32" x14ac:dyDescent="0.25">
      <c r="AE509601" s="34"/>
      <c r="AF509601" s="34"/>
    </row>
    <row r="509609" spans="31:32" x14ac:dyDescent="0.25">
      <c r="AE509609" s="36"/>
      <c r="AF509609" s="36"/>
    </row>
    <row r="509705" spans="31:32" x14ac:dyDescent="0.25">
      <c r="AE509705" s="34"/>
      <c r="AF509705" s="34"/>
    </row>
    <row r="509713" spans="31:32" x14ac:dyDescent="0.25">
      <c r="AE509713" s="36"/>
      <c r="AF509713" s="36"/>
    </row>
    <row r="509809" spans="31:32" x14ac:dyDescent="0.25">
      <c r="AE509809" s="34"/>
      <c r="AF509809" s="34"/>
    </row>
    <row r="509817" spans="31:32" x14ac:dyDescent="0.25">
      <c r="AE509817" s="36"/>
      <c r="AF509817" s="36"/>
    </row>
    <row r="509913" spans="31:32" x14ac:dyDescent="0.25">
      <c r="AE509913" s="34"/>
      <c r="AF509913" s="34"/>
    </row>
    <row r="509921" spans="31:32" x14ac:dyDescent="0.25">
      <c r="AE509921" s="36"/>
      <c r="AF509921" s="36"/>
    </row>
    <row r="510017" spans="31:32" x14ac:dyDescent="0.25">
      <c r="AE510017" s="34"/>
      <c r="AF510017" s="34"/>
    </row>
    <row r="510025" spans="31:32" x14ac:dyDescent="0.25">
      <c r="AE510025" s="36"/>
      <c r="AF510025" s="36"/>
    </row>
    <row r="510121" spans="31:32" x14ac:dyDescent="0.25">
      <c r="AE510121" s="34"/>
      <c r="AF510121" s="34"/>
    </row>
    <row r="510129" spans="31:32" x14ac:dyDescent="0.25">
      <c r="AE510129" s="36"/>
      <c r="AF510129" s="36"/>
    </row>
    <row r="510225" spans="31:32" x14ac:dyDescent="0.25">
      <c r="AE510225" s="34"/>
      <c r="AF510225" s="34"/>
    </row>
    <row r="510233" spans="31:32" x14ac:dyDescent="0.25">
      <c r="AE510233" s="36"/>
      <c r="AF510233" s="36"/>
    </row>
    <row r="510329" spans="31:32" x14ac:dyDescent="0.25">
      <c r="AE510329" s="34"/>
      <c r="AF510329" s="34"/>
    </row>
    <row r="510337" spans="31:32" x14ac:dyDescent="0.25">
      <c r="AE510337" s="36"/>
      <c r="AF510337" s="36"/>
    </row>
    <row r="510433" spans="31:32" x14ac:dyDescent="0.25">
      <c r="AE510433" s="34"/>
      <c r="AF510433" s="34"/>
    </row>
    <row r="510441" spans="31:32" x14ac:dyDescent="0.25">
      <c r="AE510441" s="36"/>
      <c r="AF510441" s="36"/>
    </row>
    <row r="510537" spans="31:32" x14ac:dyDescent="0.25">
      <c r="AE510537" s="34"/>
      <c r="AF510537" s="34"/>
    </row>
    <row r="510545" spans="31:32" x14ac:dyDescent="0.25">
      <c r="AE510545" s="36"/>
      <c r="AF510545" s="36"/>
    </row>
    <row r="510641" spans="31:32" x14ac:dyDescent="0.25">
      <c r="AE510641" s="34"/>
      <c r="AF510641" s="34"/>
    </row>
    <row r="510649" spans="31:32" x14ac:dyDescent="0.25">
      <c r="AE510649" s="36"/>
      <c r="AF510649" s="36"/>
    </row>
    <row r="510745" spans="31:32" x14ac:dyDescent="0.25">
      <c r="AE510745" s="34"/>
      <c r="AF510745" s="34"/>
    </row>
    <row r="510753" spans="31:32" x14ac:dyDescent="0.25">
      <c r="AE510753" s="36"/>
      <c r="AF510753" s="36"/>
    </row>
    <row r="510849" spans="31:32" x14ac:dyDescent="0.25">
      <c r="AE510849" s="34"/>
      <c r="AF510849" s="34"/>
    </row>
    <row r="510857" spans="31:32" x14ac:dyDescent="0.25">
      <c r="AE510857" s="36"/>
      <c r="AF510857" s="36"/>
    </row>
    <row r="510953" spans="31:32" x14ac:dyDescent="0.25">
      <c r="AE510953" s="34"/>
      <c r="AF510953" s="34"/>
    </row>
    <row r="510961" spans="31:32" x14ac:dyDescent="0.25">
      <c r="AE510961" s="36"/>
      <c r="AF510961" s="36"/>
    </row>
    <row r="511057" spans="31:32" x14ac:dyDescent="0.25">
      <c r="AE511057" s="34"/>
      <c r="AF511057" s="34"/>
    </row>
    <row r="511065" spans="31:32" x14ac:dyDescent="0.25">
      <c r="AE511065" s="36"/>
      <c r="AF511065" s="36"/>
    </row>
    <row r="511161" spans="31:32" x14ac:dyDescent="0.25">
      <c r="AE511161" s="34"/>
      <c r="AF511161" s="34"/>
    </row>
    <row r="511169" spans="31:32" x14ac:dyDescent="0.25">
      <c r="AE511169" s="36"/>
      <c r="AF511169" s="36"/>
    </row>
    <row r="511265" spans="31:32" x14ac:dyDescent="0.25">
      <c r="AE511265" s="34"/>
      <c r="AF511265" s="34"/>
    </row>
    <row r="511273" spans="31:32" x14ac:dyDescent="0.25">
      <c r="AE511273" s="36"/>
      <c r="AF511273" s="36"/>
    </row>
    <row r="511369" spans="31:32" x14ac:dyDescent="0.25">
      <c r="AE511369" s="34"/>
      <c r="AF511369" s="34"/>
    </row>
    <row r="511377" spans="31:32" x14ac:dyDescent="0.25">
      <c r="AE511377" s="36"/>
      <c r="AF511377" s="36"/>
    </row>
    <row r="511473" spans="31:32" x14ac:dyDescent="0.25">
      <c r="AE511473" s="34"/>
      <c r="AF511473" s="34"/>
    </row>
    <row r="511481" spans="31:32" x14ac:dyDescent="0.25">
      <c r="AE511481" s="36"/>
      <c r="AF511481" s="36"/>
    </row>
    <row r="511577" spans="31:32" x14ac:dyDescent="0.25">
      <c r="AE511577" s="34"/>
      <c r="AF511577" s="34"/>
    </row>
    <row r="511585" spans="31:32" x14ac:dyDescent="0.25">
      <c r="AE511585" s="36"/>
      <c r="AF511585" s="36"/>
    </row>
    <row r="511681" spans="31:32" x14ac:dyDescent="0.25">
      <c r="AE511681" s="34"/>
      <c r="AF511681" s="34"/>
    </row>
    <row r="511689" spans="31:32" x14ac:dyDescent="0.25">
      <c r="AE511689" s="36"/>
      <c r="AF511689" s="36"/>
    </row>
    <row r="511785" spans="31:32" x14ac:dyDescent="0.25">
      <c r="AE511785" s="34"/>
      <c r="AF511785" s="34"/>
    </row>
    <row r="511793" spans="31:32" x14ac:dyDescent="0.25">
      <c r="AE511793" s="36"/>
      <c r="AF511793" s="36"/>
    </row>
    <row r="511889" spans="31:32" x14ac:dyDescent="0.25">
      <c r="AE511889" s="34"/>
      <c r="AF511889" s="34"/>
    </row>
    <row r="511897" spans="31:32" x14ac:dyDescent="0.25">
      <c r="AE511897" s="36"/>
      <c r="AF511897" s="36"/>
    </row>
    <row r="511993" spans="31:32" x14ac:dyDescent="0.25">
      <c r="AE511993" s="34"/>
      <c r="AF511993" s="34"/>
    </row>
    <row r="512001" spans="31:32" x14ac:dyDescent="0.25">
      <c r="AE512001" s="36"/>
      <c r="AF512001" s="36"/>
    </row>
    <row r="512097" spans="31:32" x14ac:dyDescent="0.25">
      <c r="AE512097" s="34"/>
      <c r="AF512097" s="34"/>
    </row>
    <row r="512105" spans="31:32" x14ac:dyDescent="0.25">
      <c r="AE512105" s="36"/>
      <c r="AF512105" s="36"/>
    </row>
    <row r="512201" spans="31:32" x14ac:dyDescent="0.25">
      <c r="AE512201" s="34"/>
      <c r="AF512201" s="34"/>
    </row>
    <row r="512209" spans="31:32" x14ac:dyDescent="0.25">
      <c r="AE512209" s="36"/>
      <c r="AF512209" s="36"/>
    </row>
    <row r="512305" spans="31:32" x14ac:dyDescent="0.25">
      <c r="AE512305" s="34"/>
      <c r="AF512305" s="34"/>
    </row>
    <row r="512313" spans="31:32" x14ac:dyDescent="0.25">
      <c r="AE512313" s="36"/>
      <c r="AF512313" s="36"/>
    </row>
    <row r="512409" spans="31:32" x14ac:dyDescent="0.25">
      <c r="AE512409" s="34"/>
      <c r="AF512409" s="34"/>
    </row>
    <row r="512417" spans="31:32" x14ac:dyDescent="0.25">
      <c r="AE512417" s="36"/>
      <c r="AF512417" s="36"/>
    </row>
    <row r="512513" spans="31:32" x14ac:dyDescent="0.25">
      <c r="AE512513" s="34"/>
      <c r="AF512513" s="34"/>
    </row>
    <row r="512521" spans="31:32" x14ac:dyDescent="0.25">
      <c r="AE512521" s="36"/>
      <c r="AF512521" s="36"/>
    </row>
    <row r="512617" spans="31:32" x14ac:dyDescent="0.25">
      <c r="AE512617" s="34"/>
      <c r="AF512617" s="34"/>
    </row>
    <row r="512625" spans="31:32" x14ac:dyDescent="0.25">
      <c r="AE512625" s="36"/>
      <c r="AF512625" s="36"/>
    </row>
    <row r="512721" spans="31:32" x14ac:dyDescent="0.25">
      <c r="AE512721" s="34"/>
      <c r="AF512721" s="34"/>
    </row>
    <row r="512729" spans="31:32" x14ac:dyDescent="0.25">
      <c r="AE512729" s="36"/>
      <c r="AF512729" s="36"/>
    </row>
    <row r="512825" spans="31:32" x14ac:dyDescent="0.25">
      <c r="AE512825" s="34"/>
      <c r="AF512825" s="34"/>
    </row>
    <row r="512833" spans="31:32" x14ac:dyDescent="0.25">
      <c r="AE512833" s="36"/>
      <c r="AF512833" s="36"/>
    </row>
    <row r="512929" spans="31:32" x14ac:dyDescent="0.25">
      <c r="AE512929" s="34"/>
      <c r="AF512929" s="34"/>
    </row>
    <row r="512937" spans="31:32" x14ac:dyDescent="0.25">
      <c r="AE512937" s="36"/>
      <c r="AF512937" s="36"/>
    </row>
    <row r="513033" spans="31:32" x14ac:dyDescent="0.25">
      <c r="AE513033" s="34"/>
      <c r="AF513033" s="34"/>
    </row>
    <row r="513041" spans="31:32" x14ac:dyDescent="0.25">
      <c r="AE513041" s="36"/>
      <c r="AF513041" s="36"/>
    </row>
    <row r="513137" spans="31:32" x14ac:dyDescent="0.25">
      <c r="AE513137" s="34"/>
      <c r="AF513137" s="34"/>
    </row>
    <row r="513145" spans="31:32" x14ac:dyDescent="0.25">
      <c r="AE513145" s="36"/>
      <c r="AF513145" s="36"/>
    </row>
    <row r="513241" spans="31:32" x14ac:dyDescent="0.25">
      <c r="AE513241" s="34"/>
      <c r="AF513241" s="34"/>
    </row>
    <row r="513249" spans="31:32" x14ac:dyDescent="0.25">
      <c r="AE513249" s="36"/>
      <c r="AF513249" s="36"/>
    </row>
    <row r="513345" spans="31:32" x14ac:dyDescent="0.25">
      <c r="AE513345" s="34"/>
      <c r="AF513345" s="34"/>
    </row>
    <row r="513353" spans="31:32" x14ac:dyDescent="0.25">
      <c r="AE513353" s="36"/>
      <c r="AF513353" s="36"/>
    </row>
    <row r="513449" spans="31:32" x14ac:dyDescent="0.25">
      <c r="AE513449" s="34"/>
      <c r="AF513449" s="34"/>
    </row>
    <row r="513457" spans="31:32" x14ac:dyDescent="0.25">
      <c r="AE513457" s="36"/>
      <c r="AF513457" s="36"/>
    </row>
    <row r="513553" spans="31:32" x14ac:dyDescent="0.25">
      <c r="AE513553" s="34"/>
      <c r="AF513553" s="34"/>
    </row>
    <row r="513561" spans="31:32" x14ac:dyDescent="0.25">
      <c r="AE513561" s="36"/>
      <c r="AF513561" s="36"/>
    </row>
    <row r="513657" spans="31:32" x14ac:dyDescent="0.25">
      <c r="AE513657" s="34"/>
      <c r="AF513657" s="34"/>
    </row>
    <row r="513665" spans="31:32" x14ac:dyDescent="0.25">
      <c r="AE513665" s="36"/>
      <c r="AF513665" s="36"/>
    </row>
    <row r="513761" spans="31:32" x14ac:dyDescent="0.25">
      <c r="AE513761" s="34"/>
      <c r="AF513761" s="34"/>
    </row>
    <row r="513769" spans="31:32" x14ac:dyDescent="0.25">
      <c r="AE513769" s="36"/>
      <c r="AF513769" s="36"/>
    </row>
    <row r="513865" spans="31:32" x14ac:dyDescent="0.25">
      <c r="AE513865" s="34"/>
      <c r="AF513865" s="34"/>
    </row>
    <row r="513873" spans="31:32" x14ac:dyDescent="0.25">
      <c r="AE513873" s="36"/>
      <c r="AF513873" s="36"/>
    </row>
    <row r="513969" spans="31:32" x14ac:dyDescent="0.25">
      <c r="AE513969" s="34"/>
      <c r="AF513969" s="34"/>
    </row>
    <row r="513977" spans="31:32" x14ac:dyDescent="0.25">
      <c r="AE513977" s="36"/>
      <c r="AF513977" s="36"/>
    </row>
    <row r="514073" spans="31:32" x14ac:dyDescent="0.25">
      <c r="AE514073" s="34"/>
      <c r="AF514073" s="34"/>
    </row>
    <row r="514081" spans="31:32" x14ac:dyDescent="0.25">
      <c r="AE514081" s="36"/>
      <c r="AF514081" s="36"/>
    </row>
    <row r="514177" spans="31:32" x14ac:dyDescent="0.25">
      <c r="AE514177" s="34"/>
      <c r="AF514177" s="34"/>
    </row>
    <row r="514185" spans="31:32" x14ac:dyDescent="0.25">
      <c r="AE514185" s="36"/>
      <c r="AF514185" s="36"/>
    </row>
    <row r="514281" spans="31:32" x14ac:dyDescent="0.25">
      <c r="AE514281" s="34"/>
      <c r="AF514281" s="34"/>
    </row>
    <row r="514289" spans="31:32" x14ac:dyDescent="0.25">
      <c r="AE514289" s="36"/>
      <c r="AF514289" s="36"/>
    </row>
    <row r="514385" spans="31:32" x14ac:dyDescent="0.25">
      <c r="AE514385" s="34"/>
      <c r="AF514385" s="34"/>
    </row>
    <row r="514393" spans="31:32" x14ac:dyDescent="0.25">
      <c r="AE514393" s="36"/>
      <c r="AF514393" s="36"/>
    </row>
    <row r="514489" spans="31:32" x14ac:dyDescent="0.25">
      <c r="AE514489" s="34"/>
      <c r="AF514489" s="34"/>
    </row>
    <row r="514497" spans="31:32" x14ac:dyDescent="0.25">
      <c r="AE514497" s="36"/>
      <c r="AF514497" s="36"/>
    </row>
    <row r="514593" spans="31:32" x14ac:dyDescent="0.25">
      <c r="AE514593" s="34"/>
      <c r="AF514593" s="34"/>
    </row>
    <row r="514601" spans="31:32" x14ac:dyDescent="0.25">
      <c r="AE514601" s="36"/>
      <c r="AF514601" s="36"/>
    </row>
    <row r="514697" spans="31:32" x14ac:dyDescent="0.25">
      <c r="AE514697" s="34"/>
      <c r="AF514697" s="34"/>
    </row>
    <row r="514705" spans="31:32" x14ac:dyDescent="0.25">
      <c r="AE514705" s="36"/>
      <c r="AF514705" s="36"/>
    </row>
    <row r="514801" spans="31:32" x14ac:dyDescent="0.25">
      <c r="AE514801" s="34"/>
      <c r="AF514801" s="34"/>
    </row>
    <row r="514809" spans="31:32" x14ac:dyDescent="0.25">
      <c r="AE514809" s="36"/>
      <c r="AF514809" s="36"/>
    </row>
    <row r="514905" spans="31:32" x14ac:dyDescent="0.25">
      <c r="AE514905" s="34"/>
      <c r="AF514905" s="34"/>
    </row>
    <row r="514913" spans="31:32" x14ac:dyDescent="0.25">
      <c r="AE514913" s="36"/>
      <c r="AF514913" s="36"/>
    </row>
    <row r="515009" spans="31:32" x14ac:dyDescent="0.25">
      <c r="AE515009" s="34"/>
      <c r="AF515009" s="34"/>
    </row>
    <row r="515017" spans="31:32" x14ac:dyDescent="0.25">
      <c r="AE515017" s="36"/>
      <c r="AF515017" s="36"/>
    </row>
    <row r="515113" spans="31:32" x14ac:dyDescent="0.25">
      <c r="AE515113" s="34"/>
      <c r="AF515113" s="34"/>
    </row>
    <row r="515121" spans="31:32" x14ac:dyDescent="0.25">
      <c r="AE515121" s="36"/>
      <c r="AF515121" s="36"/>
    </row>
    <row r="515217" spans="31:32" x14ac:dyDescent="0.25">
      <c r="AE515217" s="34"/>
      <c r="AF515217" s="34"/>
    </row>
    <row r="515225" spans="31:32" x14ac:dyDescent="0.25">
      <c r="AE515225" s="36"/>
      <c r="AF515225" s="36"/>
    </row>
    <row r="515321" spans="31:32" x14ac:dyDescent="0.25">
      <c r="AE515321" s="34"/>
      <c r="AF515321" s="34"/>
    </row>
    <row r="515329" spans="31:32" x14ac:dyDescent="0.25">
      <c r="AE515329" s="36"/>
      <c r="AF515329" s="36"/>
    </row>
    <row r="515425" spans="31:32" x14ac:dyDescent="0.25">
      <c r="AE515425" s="34"/>
      <c r="AF515425" s="34"/>
    </row>
    <row r="515433" spans="31:32" x14ac:dyDescent="0.25">
      <c r="AE515433" s="36"/>
      <c r="AF515433" s="36"/>
    </row>
    <row r="515529" spans="31:32" x14ac:dyDescent="0.25">
      <c r="AE515529" s="34"/>
      <c r="AF515529" s="34"/>
    </row>
    <row r="515537" spans="31:32" x14ac:dyDescent="0.25">
      <c r="AE515537" s="36"/>
      <c r="AF515537" s="36"/>
    </row>
    <row r="515633" spans="31:32" x14ac:dyDescent="0.25">
      <c r="AE515633" s="34"/>
      <c r="AF515633" s="34"/>
    </row>
    <row r="515641" spans="31:32" x14ac:dyDescent="0.25">
      <c r="AE515641" s="36"/>
      <c r="AF515641" s="36"/>
    </row>
    <row r="515737" spans="31:32" x14ac:dyDescent="0.25">
      <c r="AE515737" s="34"/>
      <c r="AF515737" s="34"/>
    </row>
    <row r="515745" spans="31:32" x14ac:dyDescent="0.25">
      <c r="AE515745" s="36"/>
      <c r="AF515745" s="36"/>
    </row>
    <row r="515841" spans="31:32" x14ac:dyDescent="0.25">
      <c r="AE515841" s="34"/>
      <c r="AF515841" s="34"/>
    </row>
    <row r="515849" spans="31:32" x14ac:dyDescent="0.25">
      <c r="AE515849" s="36"/>
      <c r="AF515849" s="36"/>
    </row>
    <row r="515945" spans="31:32" x14ac:dyDescent="0.25">
      <c r="AE515945" s="34"/>
      <c r="AF515945" s="34"/>
    </row>
    <row r="515953" spans="31:32" x14ac:dyDescent="0.25">
      <c r="AE515953" s="36"/>
      <c r="AF515953" s="36"/>
    </row>
    <row r="516049" spans="31:32" x14ac:dyDescent="0.25">
      <c r="AE516049" s="34"/>
      <c r="AF516049" s="34"/>
    </row>
    <row r="516057" spans="31:32" x14ac:dyDescent="0.25">
      <c r="AE516057" s="36"/>
      <c r="AF516057" s="36"/>
    </row>
    <row r="516153" spans="31:32" x14ac:dyDescent="0.25">
      <c r="AE516153" s="34"/>
      <c r="AF516153" s="34"/>
    </row>
    <row r="516161" spans="31:32" x14ac:dyDescent="0.25">
      <c r="AE516161" s="36"/>
      <c r="AF516161" s="36"/>
    </row>
    <row r="516257" spans="31:32" x14ac:dyDescent="0.25">
      <c r="AE516257" s="34"/>
      <c r="AF516257" s="34"/>
    </row>
    <row r="516265" spans="31:32" x14ac:dyDescent="0.25">
      <c r="AE516265" s="36"/>
      <c r="AF516265" s="36"/>
    </row>
    <row r="516361" spans="31:32" x14ac:dyDescent="0.25">
      <c r="AE516361" s="34"/>
      <c r="AF516361" s="34"/>
    </row>
    <row r="516369" spans="31:32" x14ac:dyDescent="0.25">
      <c r="AE516369" s="36"/>
      <c r="AF516369" s="36"/>
    </row>
    <row r="516465" spans="31:32" x14ac:dyDescent="0.25">
      <c r="AE516465" s="34"/>
      <c r="AF516465" s="34"/>
    </row>
    <row r="516473" spans="31:32" x14ac:dyDescent="0.25">
      <c r="AE516473" s="36"/>
      <c r="AF516473" s="36"/>
    </row>
    <row r="516569" spans="31:32" x14ac:dyDescent="0.25">
      <c r="AE516569" s="34"/>
      <c r="AF516569" s="34"/>
    </row>
    <row r="516577" spans="31:32" x14ac:dyDescent="0.25">
      <c r="AE516577" s="36"/>
      <c r="AF516577" s="36"/>
    </row>
    <row r="516673" spans="31:32" x14ac:dyDescent="0.25">
      <c r="AE516673" s="34"/>
      <c r="AF516673" s="34"/>
    </row>
    <row r="516681" spans="31:32" x14ac:dyDescent="0.25">
      <c r="AE516681" s="36"/>
      <c r="AF516681" s="36"/>
    </row>
    <row r="516777" spans="31:32" x14ac:dyDescent="0.25">
      <c r="AE516777" s="34"/>
      <c r="AF516777" s="34"/>
    </row>
    <row r="516785" spans="31:32" x14ac:dyDescent="0.25">
      <c r="AE516785" s="36"/>
      <c r="AF516785" s="36"/>
    </row>
    <row r="516881" spans="31:32" x14ac:dyDescent="0.25">
      <c r="AE516881" s="34"/>
      <c r="AF516881" s="34"/>
    </row>
    <row r="516889" spans="31:32" x14ac:dyDescent="0.25">
      <c r="AE516889" s="36"/>
      <c r="AF516889" s="36"/>
    </row>
    <row r="516985" spans="31:32" x14ac:dyDescent="0.25">
      <c r="AE516985" s="34"/>
      <c r="AF516985" s="34"/>
    </row>
    <row r="516993" spans="31:32" x14ac:dyDescent="0.25">
      <c r="AE516993" s="36"/>
      <c r="AF516993" s="36"/>
    </row>
    <row r="517089" spans="31:32" x14ac:dyDescent="0.25">
      <c r="AE517089" s="34"/>
      <c r="AF517089" s="34"/>
    </row>
    <row r="517097" spans="31:32" x14ac:dyDescent="0.25">
      <c r="AE517097" s="36"/>
      <c r="AF517097" s="36"/>
    </row>
    <row r="517193" spans="31:32" x14ac:dyDescent="0.25">
      <c r="AE517193" s="34"/>
      <c r="AF517193" s="34"/>
    </row>
    <row r="517201" spans="31:32" x14ac:dyDescent="0.25">
      <c r="AE517201" s="36"/>
      <c r="AF517201" s="36"/>
    </row>
    <row r="517297" spans="31:32" x14ac:dyDescent="0.25">
      <c r="AE517297" s="34"/>
      <c r="AF517297" s="34"/>
    </row>
    <row r="517305" spans="31:32" x14ac:dyDescent="0.25">
      <c r="AE517305" s="36"/>
      <c r="AF517305" s="36"/>
    </row>
    <row r="517401" spans="31:32" x14ac:dyDescent="0.25">
      <c r="AE517401" s="34"/>
      <c r="AF517401" s="34"/>
    </row>
    <row r="517409" spans="31:32" x14ac:dyDescent="0.25">
      <c r="AE517409" s="36"/>
      <c r="AF517409" s="36"/>
    </row>
    <row r="517505" spans="31:32" x14ac:dyDescent="0.25">
      <c r="AE517505" s="34"/>
      <c r="AF517505" s="34"/>
    </row>
    <row r="517513" spans="31:32" x14ac:dyDescent="0.25">
      <c r="AE517513" s="36"/>
      <c r="AF517513" s="36"/>
    </row>
    <row r="517609" spans="31:32" x14ac:dyDescent="0.25">
      <c r="AE517609" s="34"/>
      <c r="AF517609" s="34"/>
    </row>
    <row r="517617" spans="31:32" x14ac:dyDescent="0.25">
      <c r="AE517617" s="36"/>
      <c r="AF517617" s="36"/>
    </row>
    <row r="517713" spans="31:32" x14ac:dyDescent="0.25">
      <c r="AE517713" s="34"/>
      <c r="AF517713" s="34"/>
    </row>
    <row r="517721" spans="31:32" x14ac:dyDescent="0.25">
      <c r="AE517721" s="36"/>
      <c r="AF517721" s="36"/>
    </row>
    <row r="517817" spans="31:32" x14ac:dyDescent="0.25">
      <c r="AE517817" s="34"/>
      <c r="AF517817" s="34"/>
    </row>
    <row r="517825" spans="31:32" x14ac:dyDescent="0.25">
      <c r="AE517825" s="36"/>
      <c r="AF517825" s="36"/>
    </row>
    <row r="517921" spans="31:32" x14ac:dyDescent="0.25">
      <c r="AE517921" s="34"/>
      <c r="AF517921" s="34"/>
    </row>
    <row r="517929" spans="31:32" x14ac:dyDescent="0.25">
      <c r="AE517929" s="36"/>
      <c r="AF517929" s="36"/>
    </row>
    <row r="518025" spans="31:32" x14ac:dyDescent="0.25">
      <c r="AE518025" s="34"/>
      <c r="AF518025" s="34"/>
    </row>
    <row r="518033" spans="31:32" x14ac:dyDescent="0.25">
      <c r="AE518033" s="36"/>
      <c r="AF518033" s="36"/>
    </row>
    <row r="518129" spans="31:32" x14ac:dyDescent="0.25">
      <c r="AE518129" s="34"/>
      <c r="AF518129" s="34"/>
    </row>
    <row r="518137" spans="31:32" x14ac:dyDescent="0.25">
      <c r="AE518137" s="36"/>
      <c r="AF518137" s="36"/>
    </row>
    <row r="518233" spans="31:32" x14ac:dyDescent="0.25">
      <c r="AE518233" s="34"/>
      <c r="AF518233" s="34"/>
    </row>
    <row r="518241" spans="31:32" x14ac:dyDescent="0.25">
      <c r="AE518241" s="36"/>
      <c r="AF518241" s="36"/>
    </row>
    <row r="518337" spans="31:32" x14ac:dyDescent="0.25">
      <c r="AE518337" s="34"/>
      <c r="AF518337" s="34"/>
    </row>
    <row r="518345" spans="31:32" x14ac:dyDescent="0.25">
      <c r="AE518345" s="36"/>
      <c r="AF518345" s="36"/>
    </row>
    <row r="518441" spans="31:32" x14ac:dyDescent="0.25">
      <c r="AE518441" s="34"/>
      <c r="AF518441" s="34"/>
    </row>
    <row r="518449" spans="31:32" x14ac:dyDescent="0.25">
      <c r="AE518449" s="36"/>
      <c r="AF518449" s="36"/>
    </row>
    <row r="518545" spans="31:32" x14ac:dyDescent="0.25">
      <c r="AE518545" s="34"/>
      <c r="AF518545" s="34"/>
    </row>
    <row r="518553" spans="31:32" x14ac:dyDescent="0.25">
      <c r="AE518553" s="36"/>
      <c r="AF518553" s="36"/>
    </row>
    <row r="518649" spans="31:32" x14ac:dyDescent="0.25">
      <c r="AE518649" s="34"/>
      <c r="AF518649" s="34"/>
    </row>
    <row r="518657" spans="31:32" x14ac:dyDescent="0.25">
      <c r="AE518657" s="36"/>
      <c r="AF518657" s="36"/>
    </row>
    <row r="518753" spans="31:32" x14ac:dyDescent="0.25">
      <c r="AE518753" s="34"/>
      <c r="AF518753" s="34"/>
    </row>
    <row r="518761" spans="31:32" x14ac:dyDescent="0.25">
      <c r="AE518761" s="36"/>
      <c r="AF518761" s="36"/>
    </row>
    <row r="518857" spans="31:32" x14ac:dyDescent="0.25">
      <c r="AE518857" s="34"/>
      <c r="AF518857" s="34"/>
    </row>
    <row r="518865" spans="31:32" x14ac:dyDescent="0.25">
      <c r="AE518865" s="36"/>
      <c r="AF518865" s="36"/>
    </row>
    <row r="518961" spans="31:32" x14ac:dyDescent="0.25">
      <c r="AE518961" s="34"/>
      <c r="AF518961" s="34"/>
    </row>
    <row r="518969" spans="31:32" x14ac:dyDescent="0.25">
      <c r="AE518969" s="36"/>
      <c r="AF518969" s="36"/>
    </row>
    <row r="519065" spans="31:32" x14ac:dyDescent="0.25">
      <c r="AE519065" s="34"/>
      <c r="AF519065" s="34"/>
    </row>
    <row r="519073" spans="31:32" x14ac:dyDescent="0.25">
      <c r="AE519073" s="36"/>
      <c r="AF519073" s="36"/>
    </row>
    <row r="519169" spans="31:32" x14ac:dyDescent="0.25">
      <c r="AE519169" s="34"/>
      <c r="AF519169" s="34"/>
    </row>
    <row r="519177" spans="31:32" x14ac:dyDescent="0.25">
      <c r="AE519177" s="36"/>
      <c r="AF519177" s="36"/>
    </row>
    <row r="519273" spans="31:32" x14ac:dyDescent="0.25">
      <c r="AE519273" s="34"/>
      <c r="AF519273" s="34"/>
    </row>
    <row r="519281" spans="31:32" x14ac:dyDescent="0.25">
      <c r="AE519281" s="36"/>
      <c r="AF519281" s="36"/>
    </row>
    <row r="519377" spans="31:32" x14ac:dyDescent="0.25">
      <c r="AE519377" s="34"/>
      <c r="AF519377" s="34"/>
    </row>
    <row r="519385" spans="31:32" x14ac:dyDescent="0.25">
      <c r="AE519385" s="36"/>
      <c r="AF519385" s="36"/>
    </row>
    <row r="519481" spans="31:32" x14ac:dyDescent="0.25">
      <c r="AE519481" s="34"/>
      <c r="AF519481" s="34"/>
    </row>
    <row r="519489" spans="31:32" x14ac:dyDescent="0.25">
      <c r="AE519489" s="36"/>
      <c r="AF519489" s="36"/>
    </row>
    <row r="519585" spans="31:32" x14ac:dyDescent="0.25">
      <c r="AE519585" s="34"/>
      <c r="AF519585" s="34"/>
    </row>
    <row r="519593" spans="31:32" x14ac:dyDescent="0.25">
      <c r="AE519593" s="36"/>
      <c r="AF519593" s="36"/>
    </row>
    <row r="519689" spans="31:32" x14ac:dyDescent="0.25">
      <c r="AE519689" s="34"/>
      <c r="AF519689" s="34"/>
    </row>
    <row r="519697" spans="31:32" x14ac:dyDescent="0.25">
      <c r="AE519697" s="36"/>
      <c r="AF519697" s="36"/>
    </row>
    <row r="519793" spans="31:32" x14ac:dyDescent="0.25">
      <c r="AE519793" s="34"/>
      <c r="AF519793" s="34"/>
    </row>
    <row r="519801" spans="31:32" x14ac:dyDescent="0.25">
      <c r="AE519801" s="36"/>
      <c r="AF519801" s="36"/>
    </row>
    <row r="519897" spans="31:32" x14ac:dyDescent="0.25">
      <c r="AE519897" s="34"/>
      <c r="AF519897" s="34"/>
    </row>
    <row r="519905" spans="31:32" x14ac:dyDescent="0.25">
      <c r="AE519905" s="36"/>
      <c r="AF519905" s="36"/>
    </row>
    <row r="520001" spans="31:32" x14ac:dyDescent="0.25">
      <c r="AE520001" s="34"/>
      <c r="AF520001" s="34"/>
    </row>
    <row r="520009" spans="31:32" x14ac:dyDescent="0.25">
      <c r="AE520009" s="36"/>
      <c r="AF520009" s="36"/>
    </row>
    <row r="520105" spans="31:32" x14ac:dyDescent="0.25">
      <c r="AE520105" s="34"/>
      <c r="AF520105" s="34"/>
    </row>
    <row r="520113" spans="31:32" x14ac:dyDescent="0.25">
      <c r="AE520113" s="36"/>
      <c r="AF520113" s="36"/>
    </row>
    <row r="520209" spans="31:32" x14ac:dyDescent="0.25">
      <c r="AE520209" s="34"/>
      <c r="AF520209" s="34"/>
    </row>
    <row r="520217" spans="31:32" x14ac:dyDescent="0.25">
      <c r="AE520217" s="36"/>
      <c r="AF520217" s="36"/>
    </row>
    <row r="520313" spans="31:32" x14ac:dyDescent="0.25">
      <c r="AE520313" s="34"/>
      <c r="AF520313" s="34"/>
    </row>
    <row r="520321" spans="31:32" x14ac:dyDescent="0.25">
      <c r="AE520321" s="36"/>
      <c r="AF520321" s="36"/>
    </row>
    <row r="520417" spans="31:32" x14ac:dyDescent="0.25">
      <c r="AE520417" s="34"/>
      <c r="AF520417" s="34"/>
    </row>
    <row r="520425" spans="31:32" x14ac:dyDescent="0.25">
      <c r="AE520425" s="36"/>
      <c r="AF520425" s="36"/>
    </row>
    <row r="520521" spans="31:32" x14ac:dyDescent="0.25">
      <c r="AE520521" s="34"/>
      <c r="AF520521" s="34"/>
    </row>
    <row r="520529" spans="31:32" x14ac:dyDescent="0.25">
      <c r="AE520529" s="36"/>
      <c r="AF520529" s="36"/>
    </row>
    <row r="520625" spans="31:32" x14ac:dyDescent="0.25">
      <c r="AE520625" s="34"/>
      <c r="AF520625" s="34"/>
    </row>
    <row r="520633" spans="31:32" x14ac:dyDescent="0.25">
      <c r="AE520633" s="36"/>
      <c r="AF520633" s="36"/>
    </row>
    <row r="520729" spans="31:32" x14ac:dyDescent="0.25">
      <c r="AE520729" s="34"/>
      <c r="AF520729" s="34"/>
    </row>
    <row r="520737" spans="31:32" x14ac:dyDescent="0.25">
      <c r="AE520737" s="36"/>
      <c r="AF520737" s="36"/>
    </row>
    <row r="520833" spans="31:32" x14ac:dyDescent="0.25">
      <c r="AE520833" s="34"/>
      <c r="AF520833" s="34"/>
    </row>
    <row r="520841" spans="31:32" x14ac:dyDescent="0.25">
      <c r="AE520841" s="36"/>
      <c r="AF520841" s="36"/>
    </row>
    <row r="520937" spans="31:32" x14ac:dyDescent="0.25">
      <c r="AE520937" s="34"/>
      <c r="AF520937" s="34"/>
    </row>
    <row r="520945" spans="31:32" x14ac:dyDescent="0.25">
      <c r="AE520945" s="36"/>
      <c r="AF520945" s="36"/>
    </row>
    <row r="521041" spans="31:32" x14ac:dyDescent="0.25">
      <c r="AE521041" s="34"/>
      <c r="AF521041" s="34"/>
    </row>
    <row r="521049" spans="31:32" x14ac:dyDescent="0.25">
      <c r="AE521049" s="36"/>
      <c r="AF521049" s="36"/>
    </row>
    <row r="521145" spans="31:32" x14ac:dyDescent="0.25">
      <c r="AE521145" s="34"/>
      <c r="AF521145" s="34"/>
    </row>
    <row r="521153" spans="31:32" x14ac:dyDescent="0.25">
      <c r="AE521153" s="36"/>
      <c r="AF521153" s="36"/>
    </row>
    <row r="521249" spans="31:32" x14ac:dyDescent="0.25">
      <c r="AE521249" s="34"/>
      <c r="AF521249" s="34"/>
    </row>
    <row r="521257" spans="31:32" x14ac:dyDescent="0.25">
      <c r="AE521257" s="36"/>
      <c r="AF521257" s="36"/>
    </row>
    <row r="521353" spans="31:32" x14ac:dyDescent="0.25">
      <c r="AE521353" s="34"/>
      <c r="AF521353" s="34"/>
    </row>
    <row r="521361" spans="31:32" x14ac:dyDescent="0.25">
      <c r="AE521361" s="36"/>
      <c r="AF521361" s="36"/>
    </row>
    <row r="521457" spans="31:32" x14ac:dyDescent="0.25">
      <c r="AE521457" s="34"/>
      <c r="AF521457" s="34"/>
    </row>
    <row r="521465" spans="31:32" x14ac:dyDescent="0.25">
      <c r="AE521465" s="36"/>
      <c r="AF521465" s="36"/>
    </row>
    <row r="521561" spans="31:32" x14ac:dyDescent="0.25">
      <c r="AE521561" s="34"/>
      <c r="AF521561" s="34"/>
    </row>
    <row r="521569" spans="31:32" x14ac:dyDescent="0.25">
      <c r="AE521569" s="36"/>
      <c r="AF521569" s="36"/>
    </row>
    <row r="521665" spans="31:32" x14ac:dyDescent="0.25">
      <c r="AE521665" s="34"/>
      <c r="AF521665" s="34"/>
    </row>
    <row r="521673" spans="31:32" x14ac:dyDescent="0.25">
      <c r="AE521673" s="36"/>
      <c r="AF521673" s="36"/>
    </row>
    <row r="521769" spans="31:32" x14ac:dyDescent="0.25">
      <c r="AE521769" s="34"/>
      <c r="AF521769" s="34"/>
    </row>
    <row r="521777" spans="31:32" x14ac:dyDescent="0.25">
      <c r="AE521777" s="36"/>
      <c r="AF521777" s="36"/>
    </row>
    <row r="521873" spans="31:32" x14ac:dyDescent="0.25">
      <c r="AE521873" s="34"/>
      <c r="AF521873" s="34"/>
    </row>
    <row r="521881" spans="31:32" x14ac:dyDescent="0.25">
      <c r="AE521881" s="36"/>
      <c r="AF521881" s="36"/>
    </row>
    <row r="521977" spans="31:32" x14ac:dyDescent="0.25">
      <c r="AE521977" s="34"/>
      <c r="AF521977" s="34"/>
    </row>
    <row r="521985" spans="31:32" x14ac:dyDescent="0.25">
      <c r="AE521985" s="36"/>
      <c r="AF521985" s="36"/>
    </row>
    <row r="522081" spans="31:32" x14ac:dyDescent="0.25">
      <c r="AE522081" s="34"/>
      <c r="AF522081" s="34"/>
    </row>
    <row r="522089" spans="31:32" x14ac:dyDescent="0.25">
      <c r="AE522089" s="36"/>
      <c r="AF522089" s="36"/>
    </row>
    <row r="522185" spans="31:32" x14ac:dyDescent="0.25">
      <c r="AE522185" s="34"/>
      <c r="AF522185" s="34"/>
    </row>
    <row r="522193" spans="31:32" x14ac:dyDescent="0.25">
      <c r="AE522193" s="36"/>
      <c r="AF522193" s="36"/>
    </row>
    <row r="522289" spans="31:32" x14ac:dyDescent="0.25">
      <c r="AE522289" s="34"/>
      <c r="AF522289" s="34"/>
    </row>
    <row r="522297" spans="31:32" x14ac:dyDescent="0.25">
      <c r="AE522297" s="36"/>
      <c r="AF522297" s="36"/>
    </row>
    <row r="522393" spans="31:32" x14ac:dyDescent="0.25">
      <c r="AE522393" s="34"/>
      <c r="AF522393" s="34"/>
    </row>
    <row r="522401" spans="31:32" x14ac:dyDescent="0.25">
      <c r="AE522401" s="36"/>
      <c r="AF522401" s="36"/>
    </row>
    <row r="522497" spans="31:32" x14ac:dyDescent="0.25">
      <c r="AE522497" s="34"/>
      <c r="AF522497" s="34"/>
    </row>
    <row r="522505" spans="31:32" x14ac:dyDescent="0.25">
      <c r="AE522505" s="36"/>
      <c r="AF522505" s="36"/>
    </row>
    <row r="522601" spans="31:32" x14ac:dyDescent="0.25">
      <c r="AE522601" s="34"/>
      <c r="AF522601" s="34"/>
    </row>
    <row r="522609" spans="31:32" x14ac:dyDescent="0.25">
      <c r="AE522609" s="36"/>
      <c r="AF522609" s="36"/>
    </row>
    <row r="522705" spans="31:32" x14ac:dyDescent="0.25">
      <c r="AE522705" s="34"/>
      <c r="AF522705" s="34"/>
    </row>
    <row r="522713" spans="31:32" x14ac:dyDescent="0.25">
      <c r="AE522713" s="36"/>
      <c r="AF522713" s="36"/>
    </row>
    <row r="522809" spans="31:32" x14ac:dyDescent="0.25">
      <c r="AE522809" s="34"/>
      <c r="AF522809" s="34"/>
    </row>
    <row r="522817" spans="31:32" x14ac:dyDescent="0.25">
      <c r="AE522817" s="36"/>
      <c r="AF522817" s="36"/>
    </row>
    <row r="522913" spans="31:32" x14ac:dyDescent="0.25">
      <c r="AE522913" s="34"/>
      <c r="AF522913" s="34"/>
    </row>
    <row r="522921" spans="31:32" x14ac:dyDescent="0.25">
      <c r="AE522921" s="36"/>
      <c r="AF522921" s="36"/>
    </row>
    <row r="523017" spans="31:32" x14ac:dyDescent="0.25">
      <c r="AE523017" s="34"/>
      <c r="AF523017" s="34"/>
    </row>
    <row r="523025" spans="31:32" x14ac:dyDescent="0.25">
      <c r="AE523025" s="36"/>
      <c r="AF523025" s="36"/>
    </row>
    <row r="523121" spans="31:32" x14ac:dyDescent="0.25">
      <c r="AE523121" s="34"/>
      <c r="AF523121" s="34"/>
    </row>
    <row r="523129" spans="31:32" x14ac:dyDescent="0.25">
      <c r="AE523129" s="36"/>
      <c r="AF523129" s="36"/>
    </row>
    <row r="523225" spans="31:32" x14ac:dyDescent="0.25">
      <c r="AE523225" s="34"/>
      <c r="AF523225" s="34"/>
    </row>
    <row r="523233" spans="31:32" x14ac:dyDescent="0.25">
      <c r="AE523233" s="36"/>
      <c r="AF523233" s="36"/>
    </row>
    <row r="523329" spans="31:32" x14ac:dyDescent="0.25">
      <c r="AE523329" s="34"/>
      <c r="AF523329" s="34"/>
    </row>
    <row r="523337" spans="31:32" x14ac:dyDescent="0.25">
      <c r="AE523337" s="36"/>
      <c r="AF523337" s="36"/>
    </row>
    <row r="523433" spans="31:32" x14ac:dyDescent="0.25">
      <c r="AE523433" s="34"/>
      <c r="AF523433" s="34"/>
    </row>
    <row r="523441" spans="31:32" x14ac:dyDescent="0.25">
      <c r="AE523441" s="36"/>
      <c r="AF523441" s="36"/>
    </row>
    <row r="523537" spans="31:32" x14ac:dyDescent="0.25">
      <c r="AE523537" s="34"/>
      <c r="AF523537" s="34"/>
    </row>
    <row r="523545" spans="31:32" x14ac:dyDescent="0.25">
      <c r="AE523545" s="36"/>
      <c r="AF523545" s="36"/>
    </row>
    <row r="523641" spans="31:32" x14ac:dyDescent="0.25">
      <c r="AE523641" s="34"/>
      <c r="AF523641" s="34"/>
    </row>
    <row r="523649" spans="31:32" x14ac:dyDescent="0.25">
      <c r="AE523649" s="36"/>
      <c r="AF523649" s="36"/>
    </row>
    <row r="523745" spans="31:32" x14ac:dyDescent="0.25">
      <c r="AE523745" s="34"/>
      <c r="AF523745" s="34"/>
    </row>
    <row r="523753" spans="31:32" x14ac:dyDescent="0.25">
      <c r="AE523753" s="36"/>
      <c r="AF523753" s="36"/>
    </row>
    <row r="523849" spans="31:32" x14ac:dyDescent="0.25">
      <c r="AE523849" s="34"/>
      <c r="AF523849" s="34"/>
    </row>
    <row r="523857" spans="31:32" x14ac:dyDescent="0.25">
      <c r="AE523857" s="36"/>
      <c r="AF523857" s="36"/>
    </row>
    <row r="523953" spans="31:32" x14ac:dyDescent="0.25">
      <c r="AE523953" s="34"/>
      <c r="AF523953" s="34"/>
    </row>
    <row r="523961" spans="31:32" x14ac:dyDescent="0.25">
      <c r="AE523961" s="36"/>
      <c r="AF523961" s="36"/>
    </row>
    <row r="524057" spans="31:32" x14ac:dyDescent="0.25">
      <c r="AE524057" s="34"/>
      <c r="AF524057" s="34"/>
    </row>
    <row r="524065" spans="31:32" x14ac:dyDescent="0.25">
      <c r="AE524065" s="36"/>
      <c r="AF524065" s="36"/>
    </row>
    <row r="524161" spans="31:32" x14ac:dyDescent="0.25">
      <c r="AE524161" s="34"/>
      <c r="AF524161" s="34"/>
    </row>
    <row r="524169" spans="31:32" x14ac:dyDescent="0.25">
      <c r="AE524169" s="36"/>
      <c r="AF524169" s="36"/>
    </row>
    <row r="524265" spans="31:32" x14ac:dyDescent="0.25">
      <c r="AE524265" s="34"/>
      <c r="AF524265" s="34"/>
    </row>
    <row r="524273" spans="31:32" x14ac:dyDescent="0.25">
      <c r="AE524273" s="36"/>
      <c r="AF524273" s="36"/>
    </row>
    <row r="524369" spans="31:32" x14ac:dyDescent="0.25">
      <c r="AE524369" s="34"/>
      <c r="AF524369" s="34"/>
    </row>
    <row r="524377" spans="31:32" x14ac:dyDescent="0.25">
      <c r="AE524377" s="36"/>
      <c r="AF524377" s="36"/>
    </row>
    <row r="524473" spans="31:32" x14ac:dyDescent="0.25">
      <c r="AE524473" s="34"/>
      <c r="AF524473" s="34"/>
    </row>
    <row r="524481" spans="31:32" x14ac:dyDescent="0.25">
      <c r="AE524481" s="36"/>
      <c r="AF524481" s="36"/>
    </row>
    <row r="524577" spans="31:32" x14ac:dyDescent="0.25">
      <c r="AE524577" s="34"/>
      <c r="AF524577" s="34"/>
    </row>
    <row r="524585" spans="31:32" x14ac:dyDescent="0.25">
      <c r="AE524585" s="36"/>
      <c r="AF524585" s="36"/>
    </row>
    <row r="524681" spans="31:32" x14ac:dyDescent="0.25">
      <c r="AE524681" s="34"/>
      <c r="AF524681" s="34"/>
    </row>
    <row r="524689" spans="31:32" x14ac:dyDescent="0.25">
      <c r="AE524689" s="36"/>
      <c r="AF524689" s="36"/>
    </row>
    <row r="524785" spans="31:32" x14ac:dyDescent="0.25">
      <c r="AE524785" s="34"/>
      <c r="AF524785" s="34"/>
    </row>
    <row r="524793" spans="31:32" x14ac:dyDescent="0.25">
      <c r="AE524793" s="36"/>
      <c r="AF524793" s="36"/>
    </row>
    <row r="524889" spans="31:32" x14ac:dyDescent="0.25">
      <c r="AE524889" s="34"/>
      <c r="AF524889" s="34"/>
    </row>
    <row r="524897" spans="31:32" x14ac:dyDescent="0.25">
      <c r="AE524897" s="36"/>
      <c r="AF524897" s="36"/>
    </row>
    <row r="524993" spans="31:32" x14ac:dyDescent="0.25">
      <c r="AE524993" s="34"/>
      <c r="AF524993" s="34"/>
    </row>
    <row r="525001" spans="31:32" x14ac:dyDescent="0.25">
      <c r="AE525001" s="36"/>
      <c r="AF525001" s="36"/>
    </row>
    <row r="525097" spans="31:32" x14ac:dyDescent="0.25">
      <c r="AE525097" s="34"/>
      <c r="AF525097" s="34"/>
    </row>
    <row r="525105" spans="31:32" x14ac:dyDescent="0.25">
      <c r="AE525105" s="36"/>
      <c r="AF525105" s="36"/>
    </row>
    <row r="525201" spans="31:32" x14ac:dyDescent="0.25">
      <c r="AE525201" s="34"/>
      <c r="AF525201" s="34"/>
    </row>
    <row r="525209" spans="31:32" x14ac:dyDescent="0.25">
      <c r="AE525209" s="36"/>
      <c r="AF525209" s="36"/>
    </row>
    <row r="525305" spans="31:32" x14ac:dyDescent="0.25">
      <c r="AE525305" s="34"/>
      <c r="AF525305" s="34"/>
    </row>
    <row r="525313" spans="31:32" x14ac:dyDescent="0.25">
      <c r="AE525313" s="36"/>
      <c r="AF525313" s="36"/>
    </row>
    <row r="525409" spans="31:32" x14ac:dyDescent="0.25">
      <c r="AE525409" s="34"/>
      <c r="AF525409" s="34"/>
    </row>
    <row r="525417" spans="31:32" x14ac:dyDescent="0.25">
      <c r="AE525417" s="36"/>
      <c r="AF525417" s="36"/>
    </row>
    <row r="525513" spans="31:32" x14ac:dyDescent="0.25">
      <c r="AE525513" s="34"/>
      <c r="AF525513" s="34"/>
    </row>
    <row r="525521" spans="31:32" x14ac:dyDescent="0.25">
      <c r="AE525521" s="36"/>
      <c r="AF525521" s="36"/>
    </row>
    <row r="525617" spans="31:32" x14ac:dyDescent="0.25">
      <c r="AE525617" s="34"/>
      <c r="AF525617" s="34"/>
    </row>
    <row r="525625" spans="31:32" x14ac:dyDescent="0.25">
      <c r="AE525625" s="36"/>
      <c r="AF525625" s="36"/>
    </row>
    <row r="525721" spans="31:32" x14ac:dyDescent="0.25">
      <c r="AE525721" s="34"/>
      <c r="AF525721" s="34"/>
    </row>
    <row r="525729" spans="31:32" x14ac:dyDescent="0.25">
      <c r="AE525729" s="36"/>
      <c r="AF525729" s="36"/>
    </row>
    <row r="525825" spans="31:32" x14ac:dyDescent="0.25">
      <c r="AE525825" s="34"/>
      <c r="AF525825" s="34"/>
    </row>
    <row r="525833" spans="31:32" x14ac:dyDescent="0.25">
      <c r="AE525833" s="36"/>
      <c r="AF525833" s="36"/>
    </row>
    <row r="525929" spans="31:32" x14ac:dyDescent="0.25">
      <c r="AE525929" s="34"/>
      <c r="AF525929" s="34"/>
    </row>
    <row r="525937" spans="31:32" x14ac:dyDescent="0.25">
      <c r="AE525937" s="36"/>
      <c r="AF525937" s="36"/>
    </row>
    <row r="526033" spans="31:32" x14ac:dyDescent="0.25">
      <c r="AE526033" s="34"/>
      <c r="AF526033" s="34"/>
    </row>
    <row r="526041" spans="31:32" x14ac:dyDescent="0.25">
      <c r="AE526041" s="36"/>
      <c r="AF526041" s="36"/>
    </row>
    <row r="526137" spans="31:32" x14ac:dyDescent="0.25">
      <c r="AE526137" s="34"/>
      <c r="AF526137" s="34"/>
    </row>
    <row r="526145" spans="31:32" x14ac:dyDescent="0.25">
      <c r="AE526145" s="36"/>
      <c r="AF526145" s="36"/>
    </row>
    <row r="526241" spans="31:32" x14ac:dyDescent="0.25">
      <c r="AE526241" s="34"/>
      <c r="AF526241" s="34"/>
    </row>
    <row r="526249" spans="31:32" x14ac:dyDescent="0.25">
      <c r="AE526249" s="36"/>
      <c r="AF526249" s="36"/>
    </row>
    <row r="526345" spans="31:32" x14ac:dyDescent="0.25">
      <c r="AE526345" s="34"/>
      <c r="AF526345" s="34"/>
    </row>
    <row r="526353" spans="31:32" x14ac:dyDescent="0.25">
      <c r="AE526353" s="36"/>
      <c r="AF526353" s="36"/>
    </row>
    <row r="526449" spans="31:32" x14ac:dyDescent="0.25">
      <c r="AE526449" s="34"/>
      <c r="AF526449" s="34"/>
    </row>
    <row r="526457" spans="31:32" x14ac:dyDescent="0.25">
      <c r="AE526457" s="36"/>
      <c r="AF526457" s="36"/>
    </row>
    <row r="526553" spans="31:32" x14ac:dyDescent="0.25">
      <c r="AE526553" s="34"/>
      <c r="AF526553" s="34"/>
    </row>
    <row r="526561" spans="31:32" x14ac:dyDescent="0.25">
      <c r="AE526561" s="36"/>
      <c r="AF526561" s="36"/>
    </row>
    <row r="526657" spans="31:32" x14ac:dyDescent="0.25">
      <c r="AE526657" s="34"/>
      <c r="AF526657" s="34"/>
    </row>
    <row r="526665" spans="31:32" x14ac:dyDescent="0.25">
      <c r="AE526665" s="36"/>
      <c r="AF526665" s="36"/>
    </row>
    <row r="526761" spans="31:32" x14ac:dyDescent="0.25">
      <c r="AE526761" s="34"/>
      <c r="AF526761" s="34"/>
    </row>
    <row r="526769" spans="31:32" x14ac:dyDescent="0.25">
      <c r="AE526769" s="36"/>
      <c r="AF526769" s="36"/>
    </row>
    <row r="526865" spans="31:32" x14ac:dyDescent="0.25">
      <c r="AE526865" s="34"/>
      <c r="AF526865" s="34"/>
    </row>
    <row r="526873" spans="31:32" x14ac:dyDescent="0.25">
      <c r="AE526873" s="36"/>
      <c r="AF526873" s="36"/>
    </row>
    <row r="526969" spans="31:32" x14ac:dyDescent="0.25">
      <c r="AE526969" s="34"/>
      <c r="AF526969" s="34"/>
    </row>
    <row r="526977" spans="31:32" x14ac:dyDescent="0.25">
      <c r="AE526977" s="36"/>
      <c r="AF526977" s="36"/>
    </row>
    <row r="527073" spans="31:32" x14ac:dyDescent="0.25">
      <c r="AE527073" s="34"/>
      <c r="AF527073" s="34"/>
    </row>
    <row r="527081" spans="31:32" x14ac:dyDescent="0.25">
      <c r="AE527081" s="36"/>
      <c r="AF527081" s="36"/>
    </row>
    <row r="527177" spans="31:32" x14ac:dyDescent="0.25">
      <c r="AE527177" s="34"/>
      <c r="AF527177" s="34"/>
    </row>
    <row r="527185" spans="31:32" x14ac:dyDescent="0.25">
      <c r="AE527185" s="36"/>
      <c r="AF527185" s="36"/>
    </row>
    <row r="527281" spans="31:32" x14ac:dyDescent="0.25">
      <c r="AE527281" s="34"/>
      <c r="AF527281" s="34"/>
    </row>
    <row r="527289" spans="31:32" x14ac:dyDescent="0.25">
      <c r="AE527289" s="36"/>
      <c r="AF527289" s="36"/>
    </row>
    <row r="527385" spans="31:32" x14ac:dyDescent="0.25">
      <c r="AE527385" s="34"/>
      <c r="AF527385" s="34"/>
    </row>
    <row r="527393" spans="31:32" x14ac:dyDescent="0.25">
      <c r="AE527393" s="36"/>
      <c r="AF527393" s="36"/>
    </row>
    <row r="527489" spans="31:32" x14ac:dyDescent="0.25">
      <c r="AE527489" s="34"/>
      <c r="AF527489" s="34"/>
    </row>
    <row r="527497" spans="31:32" x14ac:dyDescent="0.25">
      <c r="AE527497" s="36"/>
      <c r="AF527497" s="36"/>
    </row>
    <row r="527593" spans="31:32" x14ac:dyDescent="0.25">
      <c r="AE527593" s="34"/>
      <c r="AF527593" s="34"/>
    </row>
    <row r="527601" spans="31:32" x14ac:dyDescent="0.25">
      <c r="AE527601" s="36"/>
      <c r="AF527601" s="36"/>
    </row>
    <row r="527697" spans="31:32" x14ac:dyDescent="0.25">
      <c r="AE527697" s="34"/>
      <c r="AF527697" s="34"/>
    </row>
    <row r="527705" spans="31:32" x14ac:dyDescent="0.25">
      <c r="AE527705" s="36"/>
      <c r="AF527705" s="36"/>
    </row>
    <row r="527801" spans="31:32" x14ac:dyDescent="0.25">
      <c r="AE527801" s="34"/>
      <c r="AF527801" s="34"/>
    </row>
    <row r="527809" spans="31:32" x14ac:dyDescent="0.25">
      <c r="AE527809" s="36"/>
      <c r="AF527809" s="36"/>
    </row>
    <row r="527905" spans="31:32" x14ac:dyDescent="0.25">
      <c r="AE527905" s="34"/>
      <c r="AF527905" s="34"/>
    </row>
    <row r="527913" spans="31:32" x14ac:dyDescent="0.25">
      <c r="AE527913" s="36"/>
      <c r="AF527913" s="36"/>
    </row>
    <row r="528009" spans="31:32" x14ac:dyDescent="0.25">
      <c r="AE528009" s="34"/>
      <c r="AF528009" s="34"/>
    </row>
    <row r="528017" spans="31:32" x14ac:dyDescent="0.25">
      <c r="AE528017" s="36"/>
      <c r="AF528017" s="36"/>
    </row>
    <row r="528113" spans="31:32" x14ac:dyDescent="0.25">
      <c r="AE528113" s="34"/>
      <c r="AF528113" s="34"/>
    </row>
    <row r="528121" spans="31:32" x14ac:dyDescent="0.25">
      <c r="AE528121" s="36"/>
      <c r="AF528121" s="36"/>
    </row>
    <row r="528217" spans="31:32" x14ac:dyDescent="0.25">
      <c r="AE528217" s="34"/>
      <c r="AF528217" s="34"/>
    </row>
    <row r="528225" spans="31:32" x14ac:dyDescent="0.25">
      <c r="AE528225" s="36"/>
      <c r="AF528225" s="36"/>
    </row>
    <row r="528321" spans="31:32" x14ac:dyDescent="0.25">
      <c r="AE528321" s="34"/>
      <c r="AF528321" s="34"/>
    </row>
    <row r="528329" spans="31:32" x14ac:dyDescent="0.25">
      <c r="AE528329" s="36"/>
      <c r="AF528329" s="36"/>
    </row>
    <row r="528425" spans="31:32" x14ac:dyDescent="0.25">
      <c r="AE528425" s="34"/>
      <c r="AF528425" s="34"/>
    </row>
    <row r="528433" spans="31:32" x14ac:dyDescent="0.25">
      <c r="AE528433" s="36"/>
      <c r="AF528433" s="36"/>
    </row>
    <row r="528529" spans="31:32" x14ac:dyDescent="0.25">
      <c r="AE528529" s="34"/>
      <c r="AF528529" s="34"/>
    </row>
    <row r="528537" spans="31:32" x14ac:dyDescent="0.25">
      <c r="AE528537" s="36"/>
      <c r="AF528537" s="36"/>
    </row>
    <row r="528633" spans="31:32" x14ac:dyDescent="0.25">
      <c r="AE528633" s="34"/>
      <c r="AF528633" s="34"/>
    </row>
    <row r="528641" spans="31:32" x14ac:dyDescent="0.25">
      <c r="AE528641" s="36"/>
      <c r="AF528641" s="36"/>
    </row>
    <row r="528737" spans="31:32" x14ac:dyDescent="0.25">
      <c r="AE528737" s="34"/>
      <c r="AF528737" s="34"/>
    </row>
    <row r="528745" spans="31:32" x14ac:dyDescent="0.25">
      <c r="AE528745" s="36"/>
      <c r="AF528745" s="36"/>
    </row>
    <row r="528841" spans="31:32" x14ac:dyDescent="0.25">
      <c r="AE528841" s="34"/>
      <c r="AF528841" s="34"/>
    </row>
    <row r="528849" spans="31:32" x14ac:dyDescent="0.25">
      <c r="AE528849" s="36"/>
      <c r="AF528849" s="36"/>
    </row>
    <row r="528945" spans="31:32" x14ac:dyDescent="0.25">
      <c r="AE528945" s="34"/>
      <c r="AF528945" s="34"/>
    </row>
    <row r="528953" spans="31:32" x14ac:dyDescent="0.25">
      <c r="AE528953" s="36"/>
      <c r="AF528953" s="36"/>
    </row>
    <row r="529049" spans="31:32" x14ac:dyDescent="0.25">
      <c r="AE529049" s="34"/>
      <c r="AF529049" s="34"/>
    </row>
    <row r="529057" spans="31:32" x14ac:dyDescent="0.25">
      <c r="AE529057" s="36"/>
      <c r="AF529057" s="36"/>
    </row>
    <row r="529153" spans="31:32" x14ac:dyDescent="0.25">
      <c r="AE529153" s="34"/>
      <c r="AF529153" s="34"/>
    </row>
    <row r="529161" spans="31:32" x14ac:dyDescent="0.25">
      <c r="AE529161" s="36"/>
      <c r="AF529161" s="36"/>
    </row>
    <row r="529257" spans="31:32" x14ac:dyDescent="0.25">
      <c r="AE529257" s="34"/>
      <c r="AF529257" s="34"/>
    </row>
    <row r="529265" spans="31:32" x14ac:dyDescent="0.25">
      <c r="AE529265" s="36"/>
      <c r="AF529265" s="36"/>
    </row>
    <row r="529361" spans="31:32" x14ac:dyDescent="0.25">
      <c r="AE529361" s="34"/>
      <c r="AF529361" s="34"/>
    </row>
    <row r="529369" spans="31:32" x14ac:dyDescent="0.25">
      <c r="AE529369" s="36"/>
      <c r="AF529369" s="36"/>
    </row>
    <row r="529465" spans="31:32" x14ac:dyDescent="0.25">
      <c r="AE529465" s="34"/>
      <c r="AF529465" s="34"/>
    </row>
    <row r="529473" spans="31:32" x14ac:dyDescent="0.25">
      <c r="AE529473" s="36"/>
      <c r="AF529473" s="36"/>
    </row>
    <row r="529569" spans="31:32" x14ac:dyDescent="0.25">
      <c r="AE529569" s="34"/>
      <c r="AF529569" s="34"/>
    </row>
    <row r="529577" spans="31:32" x14ac:dyDescent="0.25">
      <c r="AE529577" s="36"/>
      <c r="AF529577" s="36"/>
    </row>
    <row r="529673" spans="31:32" x14ac:dyDescent="0.25">
      <c r="AE529673" s="34"/>
      <c r="AF529673" s="34"/>
    </row>
    <row r="529681" spans="31:32" x14ac:dyDescent="0.25">
      <c r="AE529681" s="36"/>
      <c r="AF529681" s="36"/>
    </row>
    <row r="529777" spans="31:32" x14ac:dyDescent="0.25">
      <c r="AE529777" s="34"/>
      <c r="AF529777" s="34"/>
    </row>
    <row r="529785" spans="31:32" x14ac:dyDescent="0.25">
      <c r="AE529785" s="36"/>
      <c r="AF529785" s="36"/>
    </row>
    <row r="529881" spans="31:32" x14ac:dyDescent="0.25">
      <c r="AE529881" s="34"/>
      <c r="AF529881" s="34"/>
    </row>
    <row r="529889" spans="31:32" x14ac:dyDescent="0.25">
      <c r="AE529889" s="36"/>
      <c r="AF529889" s="36"/>
    </row>
    <row r="529985" spans="31:32" x14ac:dyDescent="0.25">
      <c r="AE529985" s="34"/>
      <c r="AF529985" s="34"/>
    </row>
    <row r="529993" spans="31:32" x14ac:dyDescent="0.25">
      <c r="AE529993" s="36"/>
      <c r="AF529993" s="36"/>
    </row>
    <row r="530089" spans="31:32" x14ac:dyDescent="0.25">
      <c r="AE530089" s="34"/>
      <c r="AF530089" s="34"/>
    </row>
    <row r="530097" spans="31:32" x14ac:dyDescent="0.25">
      <c r="AE530097" s="36"/>
      <c r="AF530097" s="36"/>
    </row>
    <row r="530193" spans="31:32" x14ac:dyDescent="0.25">
      <c r="AE530193" s="34"/>
      <c r="AF530193" s="34"/>
    </row>
    <row r="530201" spans="31:32" x14ac:dyDescent="0.25">
      <c r="AE530201" s="36"/>
      <c r="AF530201" s="36"/>
    </row>
    <row r="530297" spans="31:32" x14ac:dyDescent="0.25">
      <c r="AE530297" s="34"/>
      <c r="AF530297" s="34"/>
    </row>
    <row r="530305" spans="31:32" x14ac:dyDescent="0.25">
      <c r="AE530305" s="36"/>
      <c r="AF530305" s="36"/>
    </row>
    <row r="530401" spans="31:32" x14ac:dyDescent="0.25">
      <c r="AE530401" s="34"/>
      <c r="AF530401" s="34"/>
    </row>
    <row r="530409" spans="31:32" x14ac:dyDescent="0.25">
      <c r="AE530409" s="36"/>
      <c r="AF530409" s="36"/>
    </row>
    <row r="530505" spans="31:32" x14ac:dyDescent="0.25">
      <c r="AE530505" s="34"/>
      <c r="AF530505" s="34"/>
    </row>
    <row r="530513" spans="31:32" x14ac:dyDescent="0.25">
      <c r="AE530513" s="36"/>
      <c r="AF530513" s="36"/>
    </row>
    <row r="530609" spans="31:32" x14ac:dyDescent="0.25">
      <c r="AE530609" s="34"/>
      <c r="AF530609" s="34"/>
    </row>
    <row r="530617" spans="31:32" x14ac:dyDescent="0.25">
      <c r="AE530617" s="36"/>
      <c r="AF530617" s="36"/>
    </row>
    <row r="530713" spans="31:32" x14ac:dyDescent="0.25">
      <c r="AE530713" s="34"/>
      <c r="AF530713" s="34"/>
    </row>
    <row r="530721" spans="31:32" x14ac:dyDescent="0.25">
      <c r="AE530721" s="36"/>
      <c r="AF530721" s="36"/>
    </row>
    <row r="530817" spans="31:32" x14ac:dyDescent="0.25">
      <c r="AE530817" s="34"/>
      <c r="AF530817" s="34"/>
    </row>
    <row r="530825" spans="31:32" x14ac:dyDescent="0.25">
      <c r="AE530825" s="36"/>
      <c r="AF530825" s="36"/>
    </row>
    <row r="530921" spans="31:32" x14ac:dyDescent="0.25">
      <c r="AE530921" s="34"/>
      <c r="AF530921" s="34"/>
    </row>
    <row r="530929" spans="31:32" x14ac:dyDescent="0.25">
      <c r="AE530929" s="36"/>
      <c r="AF530929" s="36"/>
    </row>
    <row r="531025" spans="31:32" x14ac:dyDescent="0.25">
      <c r="AE531025" s="34"/>
      <c r="AF531025" s="34"/>
    </row>
    <row r="531033" spans="31:32" x14ac:dyDescent="0.25">
      <c r="AE531033" s="36"/>
      <c r="AF531033" s="36"/>
    </row>
    <row r="531129" spans="31:32" x14ac:dyDescent="0.25">
      <c r="AE531129" s="34"/>
      <c r="AF531129" s="34"/>
    </row>
    <row r="531137" spans="31:32" x14ac:dyDescent="0.25">
      <c r="AE531137" s="36"/>
      <c r="AF531137" s="36"/>
    </row>
    <row r="531233" spans="31:32" x14ac:dyDescent="0.25">
      <c r="AE531233" s="34"/>
      <c r="AF531233" s="34"/>
    </row>
    <row r="531241" spans="31:32" x14ac:dyDescent="0.25">
      <c r="AE531241" s="36"/>
      <c r="AF531241" s="36"/>
    </row>
    <row r="531337" spans="31:32" x14ac:dyDescent="0.25">
      <c r="AE531337" s="34"/>
      <c r="AF531337" s="34"/>
    </row>
    <row r="531345" spans="31:32" x14ac:dyDescent="0.25">
      <c r="AE531345" s="36"/>
      <c r="AF531345" s="36"/>
    </row>
    <row r="531441" spans="31:32" x14ac:dyDescent="0.25">
      <c r="AE531441" s="34"/>
      <c r="AF531441" s="34"/>
    </row>
    <row r="531449" spans="31:32" x14ac:dyDescent="0.25">
      <c r="AE531449" s="36"/>
      <c r="AF531449" s="36"/>
    </row>
    <row r="531545" spans="31:32" x14ac:dyDescent="0.25">
      <c r="AE531545" s="34"/>
      <c r="AF531545" s="34"/>
    </row>
    <row r="531553" spans="31:32" x14ac:dyDescent="0.25">
      <c r="AE531553" s="36"/>
      <c r="AF531553" s="36"/>
    </row>
    <row r="531649" spans="31:32" x14ac:dyDescent="0.25">
      <c r="AE531649" s="34"/>
      <c r="AF531649" s="34"/>
    </row>
    <row r="531657" spans="31:32" x14ac:dyDescent="0.25">
      <c r="AE531657" s="36"/>
      <c r="AF531657" s="36"/>
    </row>
    <row r="531753" spans="31:32" x14ac:dyDescent="0.25">
      <c r="AE531753" s="34"/>
      <c r="AF531753" s="34"/>
    </row>
    <row r="531761" spans="31:32" x14ac:dyDescent="0.25">
      <c r="AE531761" s="36"/>
      <c r="AF531761" s="36"/>
    </row>
    <row r="531857" spans="31:32" x14ac:dyDescent="0.25">
      <c r="AE531857" s="34"/>
      <c r="AF531857" s="34"/>
    </row>
    <row r="531865" spans="31:32" x14ac:dyDescent="0.25">
      <c r="AE531865" s="36"/>
      <c r="AF531865" s="36"/>
    </row>
    <row r="531961" spans="31:32" x14ac:dyDescent="0.25">
      <c r="AE531961" s="34"/>
      <c r="AF531961" s="34"/>
    </row>
    <row r="531969" spans="31:32" x14ac:dyDescent="0.25">
      <c r="AE531969" s="36"/>
      <c r="AF531969" s="36"/>
    </row>
    <row r="532065" spans="31:32" x14ac:dyDescent="0.25">
      <c r="AE532065" s="34"/>
      <c r="AF532065" s="34"/>
    </row>
    <row r="532073" spans="31:32" x14ac:dyDescent="0.25">
      <c r="AE532073" s="36"/>
      <c r="AF532073" s="36"/>
    </row>
    <row r="532169" spans="31:32" x14ac:dyDescent="0.25">
      <c r="AE532169" s="34"/>
      <c r="AF532169" s="34"/>
    </row>
    <row r="532177" spans="31:32" x14ac:dyDescent="0.25">
      <c r="AE532177" s="36"/>
      <c r="AF532177" s="36"/>
    </row>
    <row r="532273" spans="31:32" x14ac:dyDescent="0.25">
      <c r="AE532273" s="34"/>
      <c r="AF532273" s="34"/>
    </row>
    <row r="532281" spans="31:32" x14ac:dyDescent="0.25">
      <c r="AE532281" s="36"/>
      <c r="AF532281" s="36"/>
    </row>
    <row r="532377" spans="31:32" x14ac:dyDescent="0.25">
      <c r="AE532377" s="34"/>
      <c r="AF532377" s="34"/>
    </row>
    <row r="532385" spans="31:32" x14ac:dyDescent="0.25">
      <c r="AE532385" s="36"/>
      <c r="AF532385" s="36"/>
    </row>
    <row r="532481" spans="31:32" x14ac:dyDescent="0.25">
      <c r="AE532481" s="34"/>
      <c r="AF532481" s="34"/>
    </row>
    <row r="532489" spans="31:32" x14ac:dyDescent="0.25">
      <c r="AE532489" s="36"/>
      <c r="AF532489" s="36"/>
    </row>
    <row r="532585" spans="31:32" x14ac:dyDescent="0.25">
      <c r="AE532585" s="34"/>
      <c r="AF532585" s="34"/>
    </row>
    <row r="532593" spans="31:32" x14ac:dyDescent="0.25">
      <c r="AE532593" s="36"/>
      <c r="AF532593" s="36"/>
    </row>
    <row r="532689" spans="31:32" x14ac:dyDescent="0.25">
      <c r="AE532689" s="34"/>
      <c r="AF532689" s="34"/>
    </row>
    <row r="532697" spans="31:32" x14ac:dyDescent="0.25">
      <c r="AE532697" s="36"/>
      <c r="AF532697" s="36"/>
    </row>
    <row r="532793" spans="31:32" x14ac:dyDescent="0.25">
      <c r="AE532793" s="34"/>
      <c r="AF532793" s="34"/>
    </row>
    <row r="532801" spans="31:32" x14ac:dyDescent="0.25">
      <c r="AE532801" s="36"/>
      <c r="AF532801" s="36"/>
    </row>
    <row r="532897" spans="31:32" x14ac:dyDescent="0.25">
      <c r="AE532897" s="34"/>
      <c r="AF532897" s="34"/>
    </row>
    <row r="532905" spans="31:32" x14ac:dyDescent="0.25">
      <c r="AE532905" s="36"/>
      <c r="AF532905" s="36"/>
    </row>
    <row r="533001" spans="31:32" x14ac:dyDescent="0.25">
      <c r="AE533001" s="34"/>
      <c r="AF533001" s="34"/>
    </row>
    <row r="533009" spans="31:32" x14ac:dyDescent="0.25">
      <c r="AE533009" s="36"/>
      <c r="AF533009" s="36"/>
    </row>
    <row r="533105" spans="31:32" x14ac:dyDescent="0.25">
      <c r="AE533105" s="34"/>
      <c r="AF533105" s="34"/>
    </row>
    <row r="533113" spans="31:32" x14ac:dyDescent="0.25">
      <c r="AE533113" s="36"/>
      <c r="AF533113" s="36"/>
    </row>
    <row r="533209" spans="31:32" x14ac:dyDescent="0.25">
      <c r="AE533209" s="34"/>
      <c r="AF533209" s="34"/>
    </row>
    <row r="533217" spans="31:32" x14ac:dyDescent="0.25">
      <c r="AE533217" s="36"/>
      <c r="AF533217" s="36"/>
    </row>
    <row r="533313" spans="31:32" x14ac:dyDescent="0.25">
      <c r="AE533313" s="34"/>
      <c r="AF533313" s="34"/>
    </row>
    <row r="533321" spans="31:32" x14ac:dyDescent="0.25">
      <c r="AE533321" s="36"/>
      <c r="AF533321" s="36"/>
    </row>
    <row r="533417" spans="31:32" x14ac:dyDescent="0.25">
      <c r="AE533417" s="34"/>
      <c r="AF533417" s="34"/>
    </row>
    <row r="533425" spans="31:32" x14ac:dyDescent="0.25">
      <c r="AE533425" s="36"/>
      <c r="AF533425" s="36"/>
    </row>
    <row r="533521" spans="31:32" x14ac:dyDescent="0.25">
      <c r="AE533521" s="34"/>
      <c r="AF533521" s="34"/>
    </row>
    <row r="533529" spans="31:32" x14ac:dyDescent="0.25">
      <c r="AE533529" s="36"/>
      <c r="AF533529" s="36"/>
    </row>
    <row r="533625" spans="31:32" x14ac:dyDescent="0.25">
      <c r="AE533625" s="34"/>
      <c r="AF533625" s="34"/>
    </row>
    <row r="533633" spans="31:32" x14ac:dyDescent="0.25">
      <c r="AE533633" s="36"/>
      <c r="AF533633" s="36"/>
    </row>
    <row r="533729" spans="31:32" x14ac:dyDescent="0.25">
      <c r="AE533729" s="34"/>
      <c r="AF533729" s="34"/>
    </row>
    <row r="533737" spans="31:32" x14ac:dyDescent="0.25">
      <c r="AE533737" s="36"/>
      <c r="AF533737" s="36"/>
    </row>
    <row r="533833" spans="31:32" x14ac:dyDescent="0.25">
      <c r="AE533833" s="34"/>
      <c r="AF533833" s="34"/>
    </row>
    <row r="533841" spans="31:32" x14ac:dyDescent="0.25">
      <c r="AE533841" s="36"/>
      <c r="AF533841" s="36"/>
    </row>
    <row r="533937" spans="31:32" x14ac:dyDescent="0.25">
      <c r="AE533937" s="34"/>
      <c r="AF533937" s="34"/>
    </row>
    <row r="533945" spans="31:32" x14ac:dyDescent="0.25">
      <c r="AE533945" s="36"/>
      <c r="AF533945" s="36"/>
    </row>
    <row r="534041" spans="31:32" x14ac:dyDescent="0.25">
      <c r="AE534041" s="34"/>
      <c r="AF534041" s="34"/>
    </row>
    <row r="534049" spans="31:32" x14ac:dyDescent="0.25">
      <c r="AE534049" s="36"/>
      <c r="AF534049" s="36"/>
    </row>
    <row r="534145" spans="31:32" x14ac:dyDescent="0.25">
      <c r="AE534145" s="34"/>
      <c r="AF534145" s="34"/>
    </row>
    <row r="534153" spans="31:32" x14ac:dyDescent="0.25">
      <c r="AE534153" s="36"/>
      <c r="AF534153" s="36"/>
    </row>
    <row r="534249" spans="31:32" x14ac:dyDescent="0.25">
      <c r="AE534249" s="34"/>
      <c r="AF534249" s="34"/>
    </row>
    <row r="534257" spans="31:32" x14ac:dyDescent="0.25">
      <c r="AE534257" s="36"/>
      <c r="AF534257" s="36"/>
    </row>
    <row r="534353" spans="31:32" x14ac:dyDescent="0.25">
      <c r="AE534353" s="34"/>
      <c r="AF534353" s="34"/>
    </row>
    <row r="534361" spans="31:32" x14ac:dyDescent="0.25">
      <c r="AE534361" s="36"/>
      <c r="AF534361" s="36"/>
    </row>
    <row r="534457" spans="31:32" x14ac:dyDescent="0.25">
      <c r="AE534457" s="34"/>
      <c r="AF534457" s="34"/>
    </row>
    <row r="534465" spans="31:32" x14ac:dyDescent="0.25">
      <c r="AE534465" s="36"/>
      <c r="AF534465" s="36"/>
    </row>
    <row r="534561" spans="31:32" x14ac:dyDescent="0.25">
      <c r="AE534561" s="34"/>
      <c r="AF534561" s="34"/>
    </row>
    <row r="534569" spans="31:32" x14ac:dyDescent="0.25">
      <c r="AE534569" s="36"/>
      <c r="AF534569" s="36"/>
    </row>
    <row r="534665" spans="31:32" x14ac:dyDescent="0.25">
      <c r="AE534665" s="34"/>
      <c r="AF534665" s="34"/>
    </row>
    <row r="534673" spans="31:32" x14ac:dyDescent="0.25">
      <c r="AE534673" s="36"/>
      <c r="AF534673" s="36"/>
    </row>
    <row r="534769" spans="31:32" x14ac:dyDescent="0.25">
      <c r="AE534769" s="34"/>
      <c r="AF534769" s="34"/>
    </row>
    <row r="534777" spans="31:32" x14ac:dyDescent="0.25">
      <c r="AE534777" s="36"/>
      <c r="AF534777" s="36"/>
    </row>
    <row r="534873" spans="31:32" x14ac:dyDescent="0.25">
      <c r="AE534873" s="34"/>
      <c r="AF534873" s="34"/>
    </row>
    <row r="534881" spans="31:32" x14ac:dyDescent="0.25">
      <c r="AE534881" s="36"/>
      <c r="AF534881" s="36"/>
    </row>
    <row r="534977" spans="31:32" x14ac:dyDescent="0.25">
      <c r="AE534977" s="34"/>
      <c r="AF534977" s="34"/>
    </row>
    <row r="534985" spans="31:32" x14ac:dyDescent="0.25">
      <c r="AE534985" s="36"/>
      <c r="AF534985" s="36"/>
    </row>
    <row r="535081" spans="31:32" x14ac:dyDescent="0.25">
      <c r="AE535081" s="34"/>
      <c r="AF535081" s="34"/>
    </row>
    <row r="535089" spans="31:32" x14ac:dyDescent="0.25">
      <c r="AE535089" s="36"/>
      <c r="AF535089" s="36"/>
    </row>
    <row r="535185" spans="31:32" x14ac:dyDescent="0.25">
      <c r="AE535185" s="34"/>
      <c r="AF535185" s="34"/>
    </row>
    <row r="535193" spans="31:32" x14ac:dyDescent="0.25">
      <c r="AE535193" s="36"/>
      <c r="AF535193" s="36"/>
    </row>
    <row r="535289" spans="31:32" x14ac:dyDescent="0.25">
      <c r="AE535289" s="34"/>
      <c r="AF535289" s="34"/>
    </row>
    <row r="535297" spans="31:32" x14ac:dyDescent="0.25">
      <c r="AE535297" s="36"/>
      <c r="AF535297" s="36"/>
    </row>
    <row r="535393" spans="31:32" x14ac:dyDescent="0.25">
      <c r="AE535393" s="34"/>
      <c r="AF535393" s="34"/>
    </row>
    <row r="535401" spans="31:32" x14ac:dyDescent="0.25">
      <c r="AE535401" s="36"/>
      <c r="AF535401" s="36"/>
    </row>
    <row r="535497" spans="31:32" x14ac:dyDescent="0.25">
      <c r="AE535497" s="34"/>
      <c r="AF535497" s="34"/>
    </row>
    <row r="535505" spans="31:32" x14ac:dyDescent="0.25">
      <c r="AE535505" s="36"/>
      <c r="AF535505" s="36"/>
    </row>
    <row r="535601" spans="31:32" x14ac:dyDescent="0.25">
      <c r="AE535601" s="34"/>
      <c r="AF535601" s="34"/>
    </row>
    <row r="535609" spans="31:32" x14ac:dyDescent="0.25">
      <c r="AE535609" s="36"/>
      <c r="AF535609" s="36"/>
    </row>
    <row r="535705" spans="31:32" x14ac:dyDescent="0.25">
      <c r="AE535705" s="34"/>
      <c r="AF535705" s="34"/>
    </row>
    <row r="535713" spans="31:32" x14ac:dyDescent="0.25">
      <c r="AE535713" s="36"/>
      <c r="AF535713" s="36"/>
    </row>
    <row r="535809" spans="31:32" x14ac:dyDescent="0.25">
      <c r="AE535809" s="34"/>
      <c r="AF535809" s="34"/>
    </row>
    <row r="535817" spans="31:32" x14ac:dyDescent="0.25">
      <c r="AE535817" s="36"/>
      <c r="AF535817" s="36"/>
    </row>
    <row r="535913" spans="31:32" x14ac:dyDescent="0.25">
      <c r="AE535913" s="34"/>
      <c r="AF535913" s="34"/>
    </row>
    <row r="535921" spans="31:32" x14ac:dyDescent="0.25">
      <c r="AE535921" s="36"/>
      <c r="AF535921" s="36"/>
    </row>
    <row r="536017" spans="31:32" x14ac:dyDescent="0.25">
      <c r="AE536017" s="34"/>
      <c r="AF536017" s="34"/>
    </row>
    <row r="536025" spans="31:32" x14ac:dyDescent="0.25">
      <c r="AE536025" s="36"/>
      <c r="AF536025" s="36"/>
    </row>
    <row r="536121" spans="31:32" x14ac:dyDescent="0.25">
      <c r="AE536121" s="34"/>
      <c r="AF536121" s="34"/>
    </row>
    <row r="536129" spans="31:32" x14ac:dyDescent="0.25">
      <c r="AE536129" s="36"/>
      <c r="AF536129" s="36"/>
    </row>
    <row r="536225" spans="31:32" x14ac:dyDescent="0.25">
      <c r="AE536225" s="34"/>
      <c r="AF536225" s="34"/>
    </row>
    <row r="536233" spans="31:32" x14ac:dyDescent="0.25">
      <c r="AE536233" s="36"/>
      <c r="AF536233" s="36"/>
    </row>
    <row r="536329" spans="31:32" x14ac:dyDescent="0.25">
      <c r="AE536329" s="34"/>
      <c r="AF536329" s="34"/>
    </row>
    <row r="536337" spans="31:32" x14ac:dyDescent="0.25">
      <c r="AE536337" s="36"/>
      <c r="AF536337" s="36"/>
    </row>
    <row r="536433" spans="31:32" x14ac:dyDescent="0.25">
      <c r="AE536433" s="34"/>
      <c r="AF536433" s="34"/>
    </row>
    <row r="536441" spans="31:32" x14ac:dyDescent="0.25">
      <c r="AE536441" s="36"/>
      <c r="AF536441" s="36"/>
    </row>
    <row r="536537" spans="31:32" x14ac:dyDescent="0.25">
      <c r="AE536537" s="34"/>
      <c r="AF536537" s="34"/>
    </row>
    <row r="536545" spans="31:32" x14ac:dyDescent="0.25">
      <c r="AE536545" s="36"/>
      <c r="AF536545" s="36"/>
    </row>
    <row r="536641" spans="31:32" x14ac:dyDescent="0.25">
      <c r="AE536641" s="34"/>
      <c r="AF536641" s="34"/>
    </row>
    <row r="536649" spans="31:32" x14ac:dyDescent="0.25">
      <c r="AE536649" s="36"/>
      <c r="AF536649" s="36"/>
    </row>
    <row r="536745" spans="31:32" x14ac:dyDescent="0.25">
      <c r="AE536745" s="34"/>
      <c r="AF536745" s="34"/>
    </row>
    <row r="536753" spans="31:32" x14ac:dyDescent="0.25">
      <c r="AE536753" s="36"/>
      <c r="AF536753" s="36"/>
    </row>
    <row r="536849" spans="31:32" x14ac:dyDescent="0.25">
      <c r="AE536849" s="34"/>
      <c r="AF536849" s="34"/>
    </row>
    <row r="536857" spans="31:32" x14ac:dyDescent="0.25">
      <c r="AE536857" s="36"/>
      <c r="AF536857" s="36"/>
    </row>
    <row r="536953" spans="31:32" x14ac:dyDescent="0.25">
      <c r="AE536953" s="34"/>
      <c r="AF536953" s="34"/>
    </row>
    <row r="536961" spans="31:32" x14ac:dyDescent="0.25">
      <c r="AE536961" s="36"/>
      <c r="AF536961" s="36"/>
    </row>
    <row r="537057" spans="31:32" x14ac:dyDescent="0.25">
      <c r="AE537057" s="34"/>
      <c r="AF537057" s="34"/>
    </row>
    <row r="537065" spans="31:32" x14ac:dyDescent="0.25">
      <c r="AE537065" s="36"/>
      <c r="AF537065" s="36"/>
    </row>
    <row r="537161" spans="31:32" x14ac:dyDescent="0.25">
      <c r="AE537161" s="34"/>
      <c r="AF537161" s="34"/>
    </row>
    <row r="537169" spans="31:32" x14ac:dyDescent="0.25">
      <c r="AE537169" s="36"/>
      <c r="AF537169" s="36"/>
    </row>
    <row r="537265" spans="31:32" x14ac:dyDescent="0.25">
      <c r="AE537265" s="34"/>
      <c r="AF537265" s="34"/>
    </row>
    <row r="537273" spans="31:32" x14ac:dyDescent="0.25">
      <c r="AE537273" s="36"/>
      <c r="AF537273" s="36"/>
    </row>
    <row r="537369" spans="31:32" x14ac:dyDescent="0.25">
      <c r="AE537369" s="34"/>
      <c r="AF537369" s="34"/>
    </row>
    <row r="537377" spans="31:32" x14ac:dyDescent="0.25">
      <c r="AE537377" s="36"/>
      <c r="AF537377" s="36"/>
    </row>
    <row r="537473" spans="31:32" x14ac:dyDescent="0.25">
      <c r="AE537473" s="34"/>
      <c r="AF537473" s="34"/>
    </row>
    <row r="537481" spans="31:32" x14ac:dyDescent="0.25">
      <c r="AE537481" s="36"/>
      <c r="AF537481" s="36"/>
    </row>
    <row r="537577" spans="31:32" x14ac:dyDescent="0.25">
      <c r="AE537577" s="34"/>
      <c r="AF537577" s="34"/>
    </row>
    <row r="537585" spans="31:32" x14ac:dyDescent="0.25">
      <c r="AE537585" s="36"/>
      <c r="AF537585" s="36"/>
    </row>
    <row r="537681" spans="31:32" x14ac:dyDescent="0.25">
      <c r="AE537681" s="34"/>
      <c r="AF537681" s="34"/>
    </row>
    <row r="537689" spans="31:32" x14ac:dyDescent="0.25">
      <c r="AE537689" s="36"/>
      <c r="AF537689" s="36"/>
    </row>
    <row r="537785" spans="31:32" x14ac:dyDescent="0.25">
      <c r="AE537785" s="34"/>
      <c r="AF537785" s="34"/>
    </row>
    <row r="537793" spans="31:32" x14ac:dyDescent="0.25">
      <c r="AE537793" s="36"/>
      <c r="AF537793" s="36"/>
    </row>
    <row r="537889" spans="31:32" x14ac:dyDescent="0.25">
      <c r="AE537889" s="34"/>
      <c r="AF537889" s="34"/>
    </row>
    <row r="537897" spans="31:32" x14ac:dyDescent="0.25">
      <c r="AE537897" s="36"/>
      <c r="AF537897" s="36"/>
    </row>
    <row r="537993" spans="31:32" x14ac:dyDescent="0.25">
      <c r="AE537993" s="34"/>
      <c r="AF537993" s="34"/>
    </row>
    <row r="538001" spans="31:32" x14ac:dyDescent="0.25">
      <c r="AE538001" s="36"/>
      <c r="AF538001" s="36"/>
    </row>
    <row r="538097" spans="31:32" x14ac:dyDescent="0.25">
      <c r="AE538097" s="34"/>
      <c r="AF538097" s="34"/>
    </row>
    <row r="538105" spans="31:32" x14ac:dyDescent="0.25">
      <c r="AE538105" s="36"/>
      <c r="AF538105" s="36"/>
    </row>
    <row r="538201" spans="31:32" x14ac:dyDescent="0.25">
      <c r="AE538201" s="34"/>
      <c r="AF538201" s="34"/>
    </row>
    <row r="538209" spans="31:32" x14ac:dyDescent="0.25">
      <c r="AE538209" s="36"/>
      <c r="AF538209" s="36"/>
    </row>
    <row r="538305" spans="31:32" x14ac:dyDescent="0.25">
      <c r="AE538305" s="34"/>
      <c r="AF538305" s="34"/>
    </row>
    <row r="538313" spans="31:32" x14ac:dyDescent="0.25">
      <c r="AE538313" s="36"/>
      <c r="AF538313" s="36"/>
    </row>
    <row r="538409" spans="31:32" x14ac:dyDescent="0.25">
      <c r="AE538409" s="34"/>
      <c r="AF538409" s="34"/>
    </row>
    <row r="538417" spans="31:32" x14ac:dyDescent="0.25">
      <c r="AE538417" s="36"/>
      <c r="AF538417" s="36"/>
    </row>
    <row r="538513" spans="31:32" x14ac:dyDescent="0.25">
      <c r="AE538513" s="34"/>
      <c r="AF538513" s="34"/>
    </row>
    <row r="538521" spans="31:32" x14ac:dyDescent="0.25">
      <c r="AE538521" s="36"/>
      <c r="AF538521" s="36"/>
    </row>
    <row r="538617" spans="31:32" x14ac:dyDescent="0.25">
      <c r="AE538617" s="34"/>
      <c r="AF538617" s="34"/>
    </row>
    <row r="538625" spans="31:32" x14ac:dyDescent="0.25">
      <c r="AE538625" s="36"/>
      <c r="AF538625" s="36"/>
    </row>
    <row r="538721" spans="31:32" x14ac:dyDescent="0.25">
      <c r="AE538721" s="34"/>
      <c r="AF538721" s="34"/>
    </row>
    <row r="538729" spans="31:32" x14ac:dyDescent="0.25">
      <c r="AE538729" s="36"/>
      <c r="AF538729" s="36"/>
    </row>
    <row r="538825" spans="31:32" x14ac:dyDescent="0.25">
      <c r="AE538825" s="34"/>
      <c r="AF538825" s="34"/>
    </row>
    <row r="538833" spans="31:32" x14ac:dyDescent="0.25">
      <c r="AE538833" s="36"/>
      <c r="AF538833" s="36"/>
    </row>
    <row r="538929" spans="31:32" x14ac:dyDescent="0.25">
      <c r="AE538929" s="34"/>
      <c r="AF538929" s="34"/>
    </row>
    <row r="538937" spans="31:32" x14ac:dyDescent="0.25">
      <c r="AE538937" s="36"/>
      <c r="AF538937" s="36"/>
    </row>
    <row r="539033" spans="31:32" x14ac:dyDescent="0.25">
      <c r="AE539033" s="34"/>
      <c r="AF539033" s="34"/>
    </row>
    <row r="539041" spans="31:32" x14ac:dyDescent="0.25">
      <c r="AE539041" s="36"/>
      <c r="AF539041" s="36"/>
    </row>
    <row r="539137" spans="31:32" x14ac:dyDescent="0.25">
      <c r="AE539137" s="34"/>
      <c r="AF539137" s="34"/>
    </row>
    <row r="539145" spans="31:32" x14ac:dyDescent="0.25">
      <c r="AE539145" s="36"/>
      <c r="AF539145" s="36"/>
    </row>
    <row r="539241" spans="31:32" x14ac:dyDescent="0.25">
      <c r="AE539241" s="34"/>
      <c r="AF539241" s="34"/>
    </row>
    <row r="539249" spans="31:32" x14ac:dyDescent="0.25">
      <c r="AE539249" s="36"/>
      <c r="AF539249" s="36"/>
    </row>
    <row r="539345" spans="31:32" x14ac:dyDescent="0.25">
      <c r="AE539345" s="34"/>
      <c r="AF539345" s="34"/>
    </row>
    <row r="539353" spans="31:32" x14ac:dyDescent="0.25">
      <c r="AE539353" s="36"/>
      <c r="AF539353" s="36"/>
    </row>
    <row r="539449" spans="31:32" x14ac:dyDescent="0.25">
      <c r="AE539449" s="34"/>
      <c r="AF539449" s="34"/>
    </row>
    <row r="539457" spans="31:32" x14ac:dyDescent="0.25">
      <c r="AE539457" s="36"/>
      <c r="AF539457" s="36"/>
    </row>
    <row r="539553" spans="31:32" x14ac:dyDescent="0.25">
      <c r="AE539553" s="34"/>
      <c r="AF539553" s="34"/>
    </row>
    <row r="539561" spans="31:32" x14ac:dyDescent="0.25">
      <c r="AE539561" s="36"/>
      <c r="AF539561" s="36"/>
    </row>
    <row r="539657" spans="31:32" x14ac:dyDescent="0.25">
      <c r="AE539657" s="34"/>
      <c r="AF539657" s="34"/>
    </row>
    <row r="539665" spans="31:32" x14ac:dyDescent="0.25">
      <c r="AE539665" s="36"/>
      <c r="AF539665" s="36"/>
    </row>
    <row r="539761" spans="31:32" x14ac:dyDescent="0.25">
      <c r="AE539761" s="34"/>
      <c r="AF539761" s="34"/>
    </row>
    <row r="539769" spans="31:32" x14ac:dyDescent="0.25">
      <c r="AE539769" s="36"/>
      <c r="AF539769" s="36"/>
    </row>
    <row r="539865" spans="31:32" x14ac:dyDescent="0.25">
      <c r="AE539865" s="34"/>
      <c r="AF539865" s="34"/>
    </row>
    <row r="539873" spans="31:32" x14ac:dyDescent="0.25">
      <c r="AE539873" s="36"/>
      <c r="AF539873" s="36"/>
    </row>
    <row r="539969" spans="31:32" x14ac:dyDescent="0.25">
      <c r="AE539969" s="34"/>
      <c r="AF539969" s="34"/>
    </row>
    <row r="539977" spans="31:32" x14ac:dyDescent="0.25">
      <c r="AE539977" s="36"/>
      <c r="AF539977" s="36"/>
    </row>
    <row r="540073" spans="31:32" x14ac:dyDescent="0.25">
      <c r="AE540073" s="34"/>
      <c r="AF540073" s="34"/>
    </row>
    <row r="540081" spans="31:32" x14ac:dyDescent="0.25">
      <c r="AE540081" s="36"/>
      <c r="AF540081" s="36"/>
    </row>
    <row r="540177" spans="31:32" x14ac:dyDescent="0.25">
      <c r="AE540177" s="34"/>
      <c r="AF540177" s="34"/>
    </row>
    <row r="540185" spans="31:32" x14ac:dyDescent="0.25">
      <c r="AE540185" s="36"/>
      <c r="AF540185" s="36"/>
    </row>
    <row r="540281" spans="31:32" x14ac:dyDescent="0.25">
      <c r="AE540281" s="34"/>
      <c r="AF540281" s="34"/>
    </row>
    <row r="540289" spans="31:32" x14ac:dyDescent="0.25">
      <c r="AE540289" s="36"/>
      <c r="AF540289" s="36"/>
    </row>
    <row r="540385" spans="31:32" x14ac:dyDescent="0.25">
      <c r="AE540385" s="34"/>
      <c r="AF540385" s="34"/>
    </row>
    <row r="540393" spans="31:32" x14ac:dyDescent="0.25">
      <c r="AE540393" s="36"/>
      <c r="AF540393" s="36"/>
    </row>
    <row r="540489" spans="31:32" x14ac:dyDescent="0.25">
      <c r="AE540489" s="34"/>
      <c r="AF540489" s="34"/>
    </row>
    <row r="540497" spans="31:32" x14ac:dyDescent="0.25">
      <c r="AE540497" s="36"/>
      <c r="AF540497" s="36"/>
    </row>
    <row r="540593" spans="31:32" x14ac:dyDescent="0.25">
      <c r="AE540593" s="34"/>
      <c r="AF540593" s="34"/>
    </row>
    <row r="540601" spans="31:32" x14ac:dyDescent="0.25">
      <c r="AE540601" s="36"/>
      <c r="AF540601" s="36"/>
    </row>
    <row r="540697" spans="31:32" x14ac:dyDescent="0.25">
      <c r="AE540697" s="34"/>
      <c r="AF540697" s="34"/>
    </row>
    <row r="540705" spans="31:32" x14ac:dyDescent="0.25">
      <c r="AE540705" s="36"/>
      <c r="AF540705" s="36"/>
    </row>
    <row r="540801" spans="31:32" x14ac:dyDescent="0.25">
      <c r="AE540801" s="34"/>
      <c r="AF540801" s="34"/>
    </row>
    <row r="540809" spans="31:32" x14ac:dyDescent="0.25">
      <c r="AE540809" s="36"/>
      <c r="AF540809" s="36"/>
    </row>
    <row r="540905" spans="31:32" x14ac:dyDescent="0.25">
      <c r="AE540905" s="34"/>
      <c r="AF540905" s="34"/>
    </row>
    <row r="540913" spans="31:32" x14ac:dyDescent="0.25">
      <c r="AE540913" s="36"/>
      <c r="AF540913" s="36"/>
    </row>
    <row r="541009" spans="31:32" x14ac:dyDescent="0.25">
      <c r="AE541009" s="34"/>
      <c r="AF541009" s="34"/>
    </row>
    <row r="541017" spans="31:32" x14ac:dyDescent="0.25">
      <c r="AE541017" s="36"/>
      <c r="AF541017" s="36"/>
    </row>
    <row r="541113" spans="31:32" x14ac:dyDescent="0.25">
      <c r="AE541113" s="34"/>
      <c r="AF541113" s="34"/>
    </row>
    <row r="541121" spans="31:32" x14ac:dyDescent="0.25">
      <c r="AE541121" s="36"/>
      <c r="AF541121" s="36"/>
    </row>
    <row r="541217" spans="31:32" x14ac:dyDescent="0.25">
      <c r="AE541217" s="34"/>
      <c r="AF541217" s="34"/>
    </row>
    <row r="541225" spans="31:32" x14ac:dyDescent="0.25">
      <c r="AE541225" s="36"/>
      <c r="AF541225" s="36"/>
    </row>
    <row r="541321" spans="31:32" x14ac:dyDescent="0.25">
      <c r="AE541321" s="34"/>
      <c r="AF541321" s="34"/>
    </row>
    <row r="541329" spans="31:32" x14ac:dyDescent="0.25">
      <c r="AE541329" s="36"/>
      <c r="AF541329" s="36"/>
    </row>
    <row r="541425" spans="31:32" x14ac:dyDescent="0.25">
      <c r="AE541425" s="34"/>
      <c r="AF541425" s="34"/>
    </row>
    <row r="541433" spans="31:32" x14ac:dyDescent="0.25">
      <c r="AE541433" s="36"/>
      <c r="AF541433" s="36"/>
    </row>
    <row r="541529" spans="31:32" x14ac:dyDescent="0.25">
      <c r="AE541529" s="34"/>
      <c r="AF541529" s="34"/>
    </row>
    <row r="541537" spans="31:32" x14ac:dyDescent="0.25">
      <c r="AE541537" s="36"/>
      <c r="AF541537" s="36"/>
    </row>
    <row r="541633" spans="31:32" x14ac:dyDescent="0.25">
      <c r="AE541633" s="34"/>
      <c r="AF541633" s="34"/>
    </row>
    <row r="541641" spans="31:32" x14ac:dyDescent="0.25">
      <c r="AE541641" s="36"/>
      <c r="AF541641" s="36"/>
    </row>
    <row r="541737" spans="31:32" x14ac:dyDescent="0.25">
      <c r="AE541737" s="34"/>
      <c r="AF541737" s="34"/>
    </row>
    <row r="541745" spans="31:32" x14ac:dyDescent="0.25">
      <c r="AE541745" s="36"/>
      <c r="AF541745" s="36"/>
    </row>
    <row r="541841" spans="31:32" x14ac:dyDescent="0.25">
      <c r="AE541841" s="34"/>
      <c r="AF541841" s="34"/>
    </row>
    <row r="541849" spans="31:32" x14ac:dyDescent="0.25">
      <c r="AE541849" s="36"/>
      <c r="AF541849" s="36"/>
    </row>
    <row r="541945" spans="31:32" x14ac:dyDescent="0.25">
      <c r="AE541945" s="34"/>
      <c r="AF541945" s="34"/>
    </row>
    <row r="541953" spans="31:32" x14ac:dyDescent="0.25">
      <c r="AE541953" s="36"/>
      <c r="AF541953" s="36"/>
    </row>
    <row r="542049" spans="31:32" x14ac:dyDescent="0.25">
      <c r="AE542049" s="34"/>
      <c r="AF542049" s="34"/>
    </row>
    <row r="542057" spans="31:32" x14ac:dyDescent="0.25">
      <c r="AE542057" s="36"/>
      <c r="AF542057" s="36"/>
    </row>
    <row r="542153" spans="31:32" x14ac:dyDescent="0.25">
      <c r="AE542153" s="34"/>
      <c r="AF542153" s="34"/>
    </row>
    <row r="542161" spans="31:32" x14ac:dyDescent="0.25">
      <c r="AE542161" s="36"/>
      <c r="AF542161" s="36"/>
    </row>
    <row r="542257" spans="31:32" x14ac:dyDescent="0.25">
      <c r="AE542257" s="34"/>
      <c r="AF542257" s="34"/>
    </row>
    <row r="542265" spans="31:32" x14ac:dyDescent="0.25">
      <c r="AE542265" s="36"/>
      <c r="AF542265" s="36"/>
    </row>
    <row r="542361" spans="31:32" x14ac:dyDescent="0.25">
      <c r="AE542361" s="34"/>
      <c r="AF542361" s="34"/>
    </row>
    <row r="542369" spans="31:32" x14ac:dyDescent="0.25">
      <c r="AE542369" s="36"/>
      <c r="AF542369" s="36"/>
    </row>
    <row r="542465" spans="31:32" x14ac:dyDescent="0.25">
      <c r="AE542465" s="34"/>
      <c r="AF542465" s="34"/>
    </row>
    <row r="542473" spans="31:32" x14ac:dyDescent="0.25">
      <c r="AE542473" s="36"/>
      <c r="AF542473" s="36"/>
    </row>
    <row r="542569" spans="31:32" x14ac:dyDescent="0.25">
      <c r="AE542569" s="34"/>
      <c r="AF542569" s="34"/>
    </row>
    <row r="542577" spans="31:32" x14ac:dyDescent="0.25">
      <c r="AE542577" s="36"/>
      <c r="AF542577" s="36"/>
    </row>
    <row r="542673" spans="31:32" x14ac:dyDescent="0.25">
      <c r="AE542673" s="34"/>
      <c r="AF542673" s="34"/>
    </row>
    <row r="542681" spans="31:32" x14ac:dyDescent="0.25">
      <c r="AE542681" s="36"/>
      <c r="AF542681" s="36"/>
    </row>
    <row r="542777" spans="31:32" x14ac:dyDescent="0.25">
      <c r="AE542777" s="34"/>
      <c r="AF542777" s="34"/>
    </row>
    <row r="542785" spans="31:32" x14ac:dyDescent="0.25">
      <c r="AE542785" s="36"/>
      <c r="AF542785" s="36"/>
    </row>
    <row r="542881" spans="31:32" x14ac:dyDescent="0.25">
      <c r="AE542881" s="34"/>
      <c r="AF542881" s="34"/>
    </row>
    <row r="542889" spans="31:32" x14ac:dyDescent="0.25">
      <c r="AE542889" s="36"/>
      <c r="AF542889" s="36"/>
    </row>
    <row r="542985" spans="31:32" x14ac:dyDescent="0.25">
      <c r="AE542985" s="34"/>
      <c r="AF542985" s="34"/>
    </row>
    <row r="542993" spans="31:32" x14ac:dyDescent="0.25">
      <c r="AE542993" s="36"/>
      <c r="AF542993" s="36"/>
    </row>
    <row r="543089" spans="31:32" x14ac:dyDescent="0.25">
      <c r="AE543089" s="34"/>
      <c r="AF543089" s="34"/>
    </row>
    <row r="543097" spans="31:32" x14ac:dyDescent="0.25">
      <c r="AE543097" s="36"/>
      <c r="AF543097" s="36"/>
    </row>
    <row r="543193" spans="31:32" x14ac:dyDescent="0.25">
      <c r="AE543193" s="34"/>
      <c r="AF543193" s="34"/>
    </row>
    <row r="543201" spans="31:32" x14ac:dyDescent="0.25">
      <c r="AE543201" s="36"/>
      <c r="AF543201" s="36"/>
    </row>
    <row r="543297" spans="31:32" x14ac:dyDescent="0.25">
      <c r="AE543297" s="34"/>
      <c r="AF543297" s="34"/>
    </row>
    <row r="543305" spans="31:32" x14ac:dyDescent="0.25">
      <c r="AE543305" s="36"/>
      <c r="AF543305" s="36"/>
    </row>
    <row r="543401" spans="31:32" x14ac:dyDescent="0.25">
      <c r="AE543401" s="34"/>
      <c r="AF543401" s="34"/>
    </row>
    <row r="543409" spans="31:32" x14ac:dyDescent="0.25">
      <c r="AE543409" s="36"/>
      <c r="AF543409" s="36"/>
    </row>
    <row r="543505" spans="31:32" x14ac:dyDescent="0.25">
      <c r="AE543505" s="34"/>
      <c r="AF543505" s="34"/>
    </row>
    <row r="543513" spans="31:32" x14ac:dyDescent="0.25">
      <c r="AE543513" s="36"/>
      <c r="AF543513" s="36"/>
    </row>
    <row r="543609" spans="31:32" x14ac:dyDescent="0.25">
      <c r="AE543609" s="34"/>
      <c r="AF543609" s="34"/>
    </row>
    <row r="543617" spans="31:32" x14ac:dyDescent="0.25">
      <c r="AE543617" s="36"/>
      <c r="AF543617" s="36"/>
    </row>
    <row r="543713" spans="31:32" x14ac:dyDescent="0.25">
      <c r="AE543713" s="34"/>
      <c r="AF543713" s="34"/>
    </row>
    <row r="543721" spans="31:32" x14ac:dyDescent="0.25">
      <c r="AE543721" s="36"/>
      <c r="AF543721" s="36"/>
    </row>
    <row r="543817" spans="31:32" x14ac:dyDescent="0.25">
      <c r="AE543817" s="34"/>
      <c r="AF543817" s="34"/>
    </row>
    <row r="543825" spans="31:32" x14ac:dyDescent="0.25">
      <c r="AE543825" s="36"/>
      <c r="AF543825" s="36"/>
    </row>
    <row r="543921" spans="31:32" x14ac:dyDescent="0.25">
      <c r="AE543921" s="34"/>
      <c r="AF543921" s="34"/>
    </row>
    <row r="543929" spans="31:32" x14ac:dyDescent="0.25">
      <c r="AE543929" s="36"/>
      <c r="AF543929" s="36"/>
    </row>
    <row r="544025" spans="31:32" x14ac:dyDescent="0.25">
      <c r="AE544025" s="34"/>
      <c r="AF544025" s="34"/>
    </row>
    <row r="544033" spans="31:32" x14ac:dyDescent="0.25">
      <c r="AE544033" s="36"/>
      <c r="AF544033" s="36"/>
    </row>
    <row r="544129" spans="31:32" x14ac:dyDescent="0.25">
      <c r="AE544129" s="34"/>
      <c r="AF544129" s="34"/>
    </row>
    <row r="544137" spans="31:32" x14ac:dyDescent="0.25">
      <c r="AE544137" s="36"/>
      <c r="AF544137" s="36"/>
    </row>
    <row r="544233" spans="31:32" x14ac:dyDescent="0.25">
      <c r="AE544233" s="34"/>
      <c r="AF544233" s="34"/>
    </row>
    <row r="544241" spans="31:32" x14ac:dyDescent="0.25">
      <c r="AE544241" s="36"/>
      <c r="AF544241" s="36"/>
    </row>
    <row r="544337" spans="31:32" x14ac:dyDescent="0.25">
      <c r="AE544337" s="34"/>
      <c r="AF544337" s="34"/>
    </row>
    <row r="544345" spans="31:32" x14ac:dyDescent="0.25">
      <c r="AE544345" s="36"/>
      <c r="AF544345" s="36"/>
    </row>
    <row r="544441" spans="31:32" x14ac:dyDescent="0.25">
      <c r="AE544441" s="34"/>
      <c r="AF544441" s="34"/>
    </row>
    <row r="544449" spans="31:32" x14ac:dyDescent="0.25">
      <c r="AE544449" s="36"/>
      <c r="AF544449" s="36"/>
    </row>
    <row r="544545" spans="31:32" x14ac:dyDescent="0.25">
      <c r="AE544545" s="34"/>
      <c r="AF544545" s="34"/>
    </row>
    <row r="544553" spans="31:32" x14ac:dyDescent="0.25">
      <c r="AE544553" s="36"/>
      <c r="AF544553" s="36"/>
    </row>
    <row r="544649" spans="31:32" x14ac:dyDescent="0.25">
      <c r="AE544649" s="34"/>
      <c r="AF544649" s="34"/>
    </row>
    <row r="544657" spans="31:32" x14ac:dyDescent="0.25">
      <c r="AE544657" s="36"/>
      <c r="AF544657" s="36"/>
    </row>
    <row r="544753" spans="31:32" x14ac:dyDescent="0.25">
      <c r="AE544753" s="34"/>
      <c r="AF544753" s="34"/>
    </row>
    <row r="544761" spans="31:32" x14ac:dyDescent="0.25">
      <c r="AE544761" s="36"/>
      <c r="AF544761" s="36"/>
    </row>
    <row r="544857" spans="31:32" x14ac:dyDescent="0.25">
      <c r="AE544857" s="34"/>
      <c r="AF544857" s="34"/>
    </row>
    <row r="544865" spans="31:32" x14ac:dyDescent="0.25">
      <c r="AE544865" s="36"/>
      <c r="AF544865" s="36"/>
    </row>
    <row r="544961" spans="31:32" x14ac:dyDescent="0.25">
      <c r="AE544961" s="34"/>
      <c r="AF544961" s="34"/>
    </row>
    <row r="544969" spans="31:32" x14ac:dyDescent="0.25">
      <c r="AE544969" s="36"/>
      <c r="AF544969" s="36"/>
    </row>
    <row r="545065" spans="31:32" x14ac:dyDescent="0.25">
      <c r="AE545065" s="34"/>
      <c r="AF545065" s="34"/>
    </row>
    <row r="545073" spans="31:32" x14ac:dyDescent="0.25">
      <c r="AE545073" s="36"/>
      <c r="AF545073" s="36"/>
    </row>
    <row r="545169" spans="31:32" x14ac:dyDescent="0.25">
      <c r="AE545169" s="34"/>
      <c r="AF545169" s="34"/>
    </row>
    <row r="545177" spans="31:32" x14ac:dyDescent="0.25">
      <c r="AE545177" s="36"/>
      <c r="AF545177" s="36"/>
    </row>
    <row r="545273" spans="31:32" x14ac:dyDescent="0.25">
      <c r="AE545273" s="34"/>
      <c r="AF545273" s="34"/>
    </row>
    <row r="545281" spans="31:32" x14ac:dyDescent="0.25">
      <c r="AE545281" s="36"/>
      <c r="AF545281" s="36"/>
    </row>
    <row r="545377" spans="31:32" x14ac:dyDescent="0.25">
      <c r="AE545377" s="34"/>
      <c r="AF545377" s="34"/>
    </row>
    <row r="545385" spans="31:32" x14ac:dyDescent="0.25">
      <c r="AE545385" s="36"/>
      <c r="AF545385" s="36"/>
    </row>
    <row r="545481" spans="31:32" x14ac:dyDescent="0.25">
      <c r="AE545481" s="34"/>
      <c r="AF545481" s="34"/>
    </row>
    <row r="545489" spans="31:32" x14ac:dyDescent="0.25">
      <c r="AE545489" s="36"/>
      <c r="AF545489" s="36"/>
    </row>
    <row r="545585" spans="31:32" x14ac:dyDescent="0.25">
      <c r="AE545585" s="34"/>
      <c r="AF545585" s="34"/>
    </row>
    <row r="545593" spans="31:32" x14ac:dyDescent="0.25">
      <c r="AE545593" s="36"/>
      <c r="AF545593" s="36"/>
    </row>
    <row r="545689" spans="31:32" x14ac:dyDescent="0.25">
      <c r="AE545689" s="34"/>
      <c r="AF545689" s="34"/>
    </row>
    <row r="545697" spans="31:32" x14ac:dyDescent="0.25">
      <c r="AE545697" s="36"/>
      <c r="AF545697" s="36"/>
    </row>
    <row r="545793" spans="31:32" x14ac:dyDescent="0.25">
      <c r="AE545793" s="34"/>
      <c r="AF545793" s="34"/>
    </row>
    <row r="545801" spans="31:32" x14ac:dyDescent="0.25">
      <c r="AE545801" s="36"/>
      <c r="AF545801" s="36"/>
    </row>
    <row r="545897" spans="31:32" x14ac:dyDescent="0.25">
      <c r="AE545897" s="34"/>
      <c r="AF545897" s="34"/>
    </row>
    <row r="545905" spans="31:32" x14ac:dyDescent="0.25">
      <c r="AE545905" s="36"/>
      <c r="AF545905" s="36"/>
    </row>
    <row r="546001" spans="31:32" x14ac:dyDescent="0.25">
      <c r="AE546001" s="34"/>
      <c r="AF546001" s="34"/>
    </row>
    <row r="546009" spans="31:32" x14ac:dyDescent="0.25">
      <c r="AE546009" s="36"/>
      <c r="AF546009" s="36"/>
    </row>
    <row r="546105" spans="31:32" x14ac:dyDescent="0.25">
      <c r="AE546105" s="34"/>
      <c r="AF546105" s="34"/>
    </row>
    <row r="546113" spans="31:32" x14ac:dyDescent="0.25">
      <c r="AE546113" s="36"/>
      <c r="AF546113" s="36"/>
    </row>
    <row r="546209" spans="31:32" x14ac:dyDescent="0.25">
      <c r="AE546209" s="34"/>
      <c r="AF546209" s="34"/>
    </row>
    <row r="546217" spans="31:32" x14ac:dyDescent="0.25">
      <c r="AE546217" s="36"/>
      <c r="AF546217" s="36"/>
    </row>
    <row r="546313" spans="31:32" x14ac:dyDescent="0.25">
      <c r="AE546313" s="34"/>
      <c r="AF546313" s="34"/>
    </row>
    <row r="546321" spans="31:32" x14ac:dyDescent="0.25">
      <c r="AE546321" s="36"/>
      <c r="AF546321" s="36"/>
    </row>
    <row r="546417" spans="31:32" x14ac:dyDescent="0.25">
      <c r="AE546417" s="34"/>
      <c r="AF546417" s="34"/>
    </row>
    <row r="546425" spans="31:32" x14ac:dyDescent="0.25">
      <c r="AE546425" s="36"/>
      <c r="AF546425" s="36"/>
    </row>
    <row r="546521" spans="31:32" x14ac:dyDescent="0.25">
      <c r="AE546521" s="34"/>
      <c r="AF546521" s="34"/>
    </row>
    <row r="546529" spans="31:32" x14ac:dyDescent="0.25">
      <c r="AE546529" s="36"/>
      <c r="AF546529" s="36"/>
    </row>
    <row r="546625" spans="31:32" x14ac:dyDescent="0.25">
      <c r="AE546625" s="34"/>
      <c r="AF546625" s="34"/>
    </row>
    <row r="546633" spans="31:32" x14ac:dyDescent="0.25">
      <c r="AE546633" s="36"/>
      <c r="AF546633" s="36"/>
    </row>
    <row r="546729" spans="31:32" x14ac:dyDescent="0.25">
      <c r="AE546729" s="34"/>
      <c r="AF546729" s="34"/>
    </row>
    <row r="546737" spans="31:32" x14ac:dyDescent="0.25">
      <c r="AE546737" s="36"/>
      <c r="AF546737" s="36"/>
    </row>
    <row r="546833" spans="31:32" x14ac:dyDescent="0.25">
      <c r="AE546833" s="34"/>
      <c r="AF546833" s="34"/>
    </row>
    <row r="546841" spans="31:32" x14ac:dyDescent="0.25">
      <c r="AE546841" s="36"/>
      <c r="AF546841" s="36"/>
    </row>
    <row r="546937" spans="31:32" x14ac:dyDescent="0.25">
      <c r="AE546937" s="34"/>
      <c r="AF546937" s="34"/>
    </row>
    <row r="546945" spans="31:32" x14ac:dyDescent="0.25">
      <c r="AE546945" s="36"/>
      <c r="AF546945" s="36"/>
    </row>
    <row r="547041" spans="31:32" x14ac:dyDescent="0.25">
      <c r="AE547041" s="34"/>
      <c r="AF547041" s="34"/>
    </row>
    <row r="547049" spans="31:32" x14ac:dyDescent="0.25">
      <c r="AE547049" s="36"/>
      <c r="AF547049" s="36"/>
    </row>
    <row r="547145" spans="31:32" x14ac:dyDescent="0.25">
      <c r="AE547145" s="34"/>
      <c r="AF547145" s="34"/>
    </row>
    <row r="547153" spans="31:32" x14ac:dyDescent="0.25">
      <c r="AE547153" s="36"/>
      <c r="AF547153" s="36"/>
    </row>
    <row r="547249" spans="31:32" x14ac:dyDescent="0.25">
      <c r="AE547249" s="34"/>
      <c r="AF547249" s="34"/>
    </row>
    <row r="547257" spans="31:32" x14ac:dyDescent="0.25">
      <c r="AE547257" s="36"/>
      <c r="AF547257" s="36"/>
    </row>
    <row r="547353" spans="31:32" x14ac:dyDescent="0.25">
      <c r="AE547353" s="34"/>
      <c r="AF547353" s="34"/>
    </row>
    <row r="547361" spans="31:32" x14ac:dyDescent="0.25">
      <c r="AE547361" s="36"/>
      <c r="AF547361" s="36"/>
    </row>
    <row r="547457" spans="31:32" x14ac:dyDescent="0.25">
      <c r="AE547457" s="34"/>
      <c r="AF547457" s="34"/>
    </row>
    <row r="547465" spans="31:32" x14ac:dyDescent="0.25">
      <c r="AE547465" s="36"/>
      <c r="AF547465" s="36"/>
    </row>
    <row r="547561" spans="31:32" x14ac:dyDescent="0.25">
      <c r="AE547561" s="34"/>
      <c r="AF547561" s="34"/>
    </row>
    <row r="547569" spans="31:32" x14ac:dyDescent="0.25">
      <c r="AE547569" s="36"/>
      <c r="AF547569" s="36"/>
    </row>
    <row r="547665" spans="31:32" x14ac:dyDescent="0.25">
      <c r="AE547665" s="34"/>
      <c r="AF547665" s="34"/>
    </row>
    <row r="547673" spans="31:32" x14ac:dyDescent="0.25">
      <c r="AE547673" s="36"/>
      <c r="AF547673" s="36"/>
    </row>
    <row r="547769" spans="31:32" x14ac:dyDescent="0.25">
      <c r="AE547769" s="34"/>
      <c r="AF547769" s="34"/>
    </row>
    <row r="547777" spans="31:32" x14ac:dyDescent="0.25">
      <c r="AE547777" s="36"/>
      <c r="AF547777" s="36"/>
    </row>
    <row r="547873" spans="31:32" x14ac:dyDescent="0.25">
      <c r="AE547873" s="34"/>
      <c r="AF547873" s="34"/>
    </row>
    <row r="547881" spans="31:32" x14ac:dyDescent="0.25">
      <c r="AE547881" s="36"/>
      <c r="AF547881" s="36"/>
    </row>
    <row r="547977" spans="31:32" x14ac:dyDescent="0.25">
      <c r="AE547977" s="34"/>
      <c r="AF547977" s="34"/>
    </row>
    <row r="547985" spans="31:32" x14ac:dyDescent="0.25">
      <c r="AE547985" s="36"/>
      <c r="AF547985" s="36"/>
    </row>
    <row r="548081" spans="31:32" x14ac:dyDescent="0.25">
      <c r="AE548081" s="34"/>
      <c r="AF548081" s="34"/>
    </row>
    <row r="548089" spans="31:32" x14ac:dyDescent="0.25">
      <c r="AE548089" s="36"/>
      <c r="AF548089" s="36"/>
    </row>
    <row r="548185" spans="31:32" x14ac:dyDescent="0.25">
      <c r="AE548185" s="34"/>
      <c r="AF548185" s="34"/>
    </row>
    <row r="548193" spans="31:32" x14ac:dyDescent="0.25">
      <c r="AE548193" s="36"/>
      <c r="AF548193" s="36"/>
    </row>
    <row r="548289" spans="31:32" x14ac:dyDescent="0.25">
      <c r="AE548289" s="34"/>
      <c r="AF548289" s="34"/>
    </row>
    <row r="548297" spans="31:32" x14ac:dyDescent="0.25">
      <c r="AE548297" s="36"/>
      <c r="AF548297" s="36"/>
    </row>
    <row r="548393" spans="31:32" x14ac:dyDescent="0.25">
      <c r="AE548393" s="34"/>
      <c r="AF548393" s="34"/>
    </row>
    <row r="548401" spans="31:32" x14ac:dyDescent="0.25">
      <c r="AE548401" s="36"/>
      <c r="AF548401" s="36"/>
    </row>
    <row r="548497" spans="31:32" x14ac:dyDescent="0.25">
      <c r="AE548497" s="34"/>
      <c r="AF548497" s="34"/>
    </row>
    <row r="548505" spans="31:32" x14ac:dyDescent="0.25">
      <c r="AE548505" s="36"/>
      <c r="AF548505" s="36"/>
    </row>
    <row r="548601" spans="31:32" x14ac:dyDescent="0.25">
      <c r="AE548601" s="34"/>
      <c r="AF548601" s="34"/>
    </row>
    <row r="548609" spans="31:32" x14ac:dyDescent="0.25">
      <c r="AE548609" s="36"/>
      <c r="AF548609" s="36"/>
    </row>
    <row r="548705" spans="31:32" x14ac:dyDescent="0.25">
      <c r="AE548705" s="34"/>
      <c r="AF548705" s="34"/>
    </row>
    <row r="548713" spans="31:32" x14ac:dyDescent="0.25">
      <c r="AE548713" s="36"/>
      <c r="AF548713" s="36"/>
    </row>
    <row r="548809" spans="31:32" x14ac:dyDescent="0.25">
      <c r="AE548809" s="34"/>
      <c r="AF548809" s="34"/>
    </row>
    <row r="548817" spans="31:32" x14ac:dyDescent="0.25">
      <c r="AE548817" s="36"/>
      <c r="AF548817" s="36"/>
    </row>
    <row r="548913" spans="31:32" x14ac:dyDescent="0.25">
      <c r="AE548913" s="34"/>
      <c r="AF548913" s="34"/>
    </row>
    <row r="548921" spans="31:32" x14ac:dyDescent="0.25">
      <c r="AE548921" s="36"/>
      <c r="AF548921" s="36"/>
    </row>
    <row r="549017" spans="31:32" x14ac:dyDescent="0.25">
      <c r="AE549017" s="34"/>
      <c r="AF549017" s="34"/>
    </row>
    <row r="549025" spans="31:32" x14ac:dyDescent="0.25">
      <c r="AE549025" s="36"/>
      <c r="AF549025" s="36"/>
    </row>
    <row r="549121" spans="31:32" x14ac:dyDescent="0.25">
      <c r="AE549121" s="34"/>
      <c r="AF549121" s="34"/>
    </row>
    <row r="549129" spans="31:32" x14ac:dyDescent="0.25">
      <c r="AE549129" s="36"/>
      <c r="AF549129" s="36"/>
    </row>
    <row r="549225" spans="31:32" x14ac:dyDescent="0.25">
      <c r="AE549225" s="34"/>
      <c r="AF549225" s="34"/>
    </row>
    <row r="549233" spans="31:32" x14ac:dyDescent="0.25">
      <c r="AE549233" s="36"/>
      <c r="AF549233" s="36"/>
    </row>
    <row r="549329" spans="31:32" x14ac:dyDescent="0.25">
      <c r="AE549329" s="34"/>
      <c r="AF549329" s="34"/>
    </row>
    <row r="549337" spans="31:32" x14ac:dyDescent="0.25">
      <c r="AE549337" s="36"/>
      <c r="AF549337" s="36"/>
    </row>
    <row r="549433" spans="31:32" x14ac:dyDescent="0.25">
      <c r="AE549433" s="34"/>
      <c r="AF549433" s="34"/>
    </row>
    <row r="549441" spans="31:32" x14ac:dyDescent="0.25">
      <c r="AE549441" s="36"/>
      <c r="AF549441" s="36"/>
    </row>
    <row r="549537" spans="31:32" x14ac:dyDescent="0.25">
      <c r="AE549537" s="34"/>
      <c r="AF549537" s="34"/>
    </row>
    <row r="549545" spans="31:32" x14ac:dyDescent="0.25">
      <c r="AE549545" s="36"/>
      <c r="AF549545" s="36"/>
    </row>
    <row r="549641" spans="31:32" x14ac:dyDescent="0.25">
      <c r="AE549641" s="34"/>
      <c r="AF549641" s="34"/>
    </row>
    <row r="549649" spans="31:32" x14ac:dyDescent="0.25">
      <c r="AE549649" s="36"/>
      <c r="AF549649" s="36"/>
    </row>
    <row r="549745" spans="31:32" x14ac:dyDescent="0.25">
      <c r="AE549745" s="34"/>
      <c r="AF549745" s="34"/>
    </row>
    <row r="549753" spans="31:32" x14ac:dyDescent="0.25">
      <c r="AE549753" s="36"/>
      <c r="AF549753" s="36"/>
    </row>
    <row r="549849" spans="31:32" x14ac:dyDescent="0.25">
      <c r="AE549849" s="34"/>
      <c r="AF549849" s="34"/>
    </row>
    <row r="549857" spans="31:32" x14ac:dyDescent="0.25">
      <c r="AE549857" s="36"/>
      <c r="AF549857" s="36"/>
    </row>
    <row r="549953" spans="31:32" x14ac:dyDescent="0.25">
      <c r="AE549953" s="34"/>
      <c r="AF549953" s="34"/>
    </row>
    <row r="549961" spans="31:32" x14ac:dyDescent="0.25">
      <c r="AE549961" s="36"/>
      <c r="AF549961" s="36"/>
    </row>
    <row r="550057" spans="31:32" x14ac:dyDescent="0.25">
      <c r="AE550057" s="34"/>
      <c r="AF550057" s="34"/>
    </row>
    <row r="550065" spans="31:32" x14ac:dyDescent="0.25">
      <c r="AE550065" s="36"/>
      <c r="AF550065" s="36"/>
    </row>
    <row r="550161" spans="31:32" x14ac:dyDescent="0.25">
      <c r="AE550161" s="34"/>
      <c r="AF550161" s="34"/>
    </row>
    <row r="550169" spans="31:32" x14ac:dyDescent="0.25">
      <c r="AE550169" s="36"/>
      <c r="AF550169" s="36"/>
    </row>
    <row r="550265" spans="31:32" x14ac:dyDescent="0.25">
      <c r="AE550265" s="34"/>
      <c r="AF550265" s="34"/>
    </row>
    <row r="550273" spans="31:32" x14ac:dyDescent="0.25">
      <c r="AE550273" s="36"/>
      <c r="AF550273" s="36"/>
    </row>
    <row r="550369" spans="31:32" x14ac:dyDescent="0.25">
      <c r="AE550369" s="34"/>
      <c r="AF550369" s="34"/>
    </row>
    <row r="550377" spans="31:32" x14ac:dyDescent="0.25">
      <c r="AE550377" s="36"/>
      <c r="AF550377" s="36"/>
    </row>
    <row r="550473" spans="31:32" x14ac:dyDescent="0.25">
      <c r="AE550473" s="34"/>
      <c r="AF550473" s="34"/>
    </row>
    <row r="550481" spans="31:32" x14ac:dyDescent="0.25">
      <c r="AE550481" s="36"/>
      <c r="AF550481" s="36"/>
    </row>
    <row r="550577" spans="31:32" x14ac:dyDescent="0.25">
      <c r="AE550577" s="34"/>
      <c r="AF550577" s="34"/>
    </row>
    <row r="550585" spans="31:32" x14ac:dyDescent="0.25">
      <c r="AE550585" s="36"/>
      <c r="AF550585" s="36"/>
    </row>
    <row r="550681" spans="31:32" x14ac:dyDescent="0.25">
      <c r="AE550681" s="34"/>
      <c r="AF550681" s="34"/>
    </row>
    <row r="550689" spans="31:32" x14ac:dyDescent="0.25">
      <c r="AE550689" s="36"/>
      <c r="AF550689" s="36"/>
    </row>
    <row r="550785" spans="31:32" x14ac:dyDescent="0.25">
      <c r="AE550785" s="34"/>
      <c r="AF550785" s="34"/>
    </row>
    <row r="550793" spans="31:32" x14ac:dyDescent="0.25">
      <c r="AE550793" s="36"/>
      <c r="AF550793" s="36"/>
    </row>
    <row r="550889" spans="31:32" x14ac:dyDescent="0.25">
      <c r="AE550889" s="34"/>
      <c r="AF550889" s="34"/>
    </row>
    <row r="550897" spans="31:32" x14ac:dyDescent="0.25">
      <c r="AE550897" s="36"/>
      <c r="AF550897" s="36"/>
    </row>
    <row r="550993" spans="31:32" x14ac:dyDescent="0.25">
      <c r="AE550993" s="34"/>
      <c r="AF550993" s="34"/>
    </row>
    <row r="551001" spans="31:32" x14ac:dyDescent="0.25">
      <c r="AE551001" s="36"/>
      <c r="AF551001" s="36"/>
    </row>
    <row r="551097" spans="31:32" x14ac:dyDescent="0.25">
      <c r="AE551097" s="34"/>
      <c r="AF551097" s="34"/>
    </row>
    <row r="551105" spans="31:32" x14ac:dyDescent="0.25">
      <c r="AE551105" s="36"/>
      <c r="AF551105" s="36"/>
    </row>
    <row r="551201" spans="31:32" x14ac:dyDescent="0.25">
      <c r="AE551201" s="34"/>
      <c r="AF551201" s="34"/>
    </row>
    <row r="551209" spans="31:32" x14ac:dyDescent="0.25">
      <c r="AE551209" s="36"/>
      <c r="AF551209" s="36"/>
    </row>
    <row r="551305" spans="31:32" x14ac:dyDescent="0.25">
      <c r="AE551305" s="34"/>
      <c r="AF551305" s="34"/>
    </row>
    <row r="551313" spans="31:32" x14ac:dyDescent="0.25">
      <c r="AE551313" s="36"/>
      <c r="AF551313" s="36"/>
    </row>
    <row r="551409" spans="31:32" x14ac:dyDescent="0.25">
      <c r="AE551409" s="34"/>
      <c r="AF551409" s="34"/>
    </row>
    <row r="551417" spans="31:32" x14ac:dyDescent="0.25">
      <c r="AE551417" s="36"/>
      <c r="AF551417" s="36"/>
    </row>
    <row r="551513" spans="31:32" x14ac:dyDescent="0.25">
      <c r="AE551513" s="34"/>
      <c r="AF551513" s="34"/>
    </row>
    <row r="551521" spans="31:32" x14ac:dyDescent="0.25">
      <c r="AE551521" s="36"/>
      <c r="AF551521" s="36"/>
    </row>
    <row r="551617" spans="31:32" x14ac:dyDescent="0.25">
      <c r="AE551617" s="34"/>
      <c r="AF551617" s="34"/>
    </row>
    <row r="551625" spans="31:32" x14ac:dyDescent="0.25">
      <c r="AE551625" s="36"/>
      <c r="AF551625" s="36"/>
    </row>
    <row r="551721" spans="31:32" x14ac:dyDescent="0.25">
      <c r="AE551721" s="34"/>
      <c r="AF551721" s="34"/>
    </row>
    <row r="551729" spans="31:32" x14ac:dyDescent="0.25">
      <c r="AE551729" s="36"/>
      <c r="AF551729" s="36"/>
    </row>
    <row r="551825" spans="31:32" x14ac:dyDescent="0.25">
      <c r="AE551825" s="34"/>
      <c r="AF551825" s="34"/>
    </row>
    <row r="551833" spans="31:32" x14ac:dyDescent="0.25">
      <c r="AE551833" s="36"/>
      <c r="AF551833" s="36"/>
    </row>
    <row r="551929" spans="31:32" x14ac:dyDescent="0.25">
      <c r="AE551929" s="34"/>
      <c r="AF551929" s="34"/>
    </row>
    <row r="551937" spans="31:32" x14ac:dyDescent="0.25">
      <c r="AE551937" s="36"/>
      <c r="AF551937" s="36"/>
    </row>
    <row r="552033" spans="31:32" x14ac:dyDescent="0.25">
      <c r="AE552033" s="34"/>
      <c r="AF552033" s="34"/>
    </row>
    <row r="552041" spans="31:32" x14ac:dyDescent="0.25">
      <c r="AE552041" s="36"/>
      <c r="AF552041" s="36"/>
    </row>
    <row r="552137" spans="31:32" x14ac:dyDescent="0.25">
      <c r="AE552137" s="34"/>
      <c r="AF552137" s="34"/>
    </row>
    <row r="552145" spans="31:32" x14ac:dyDescent="0.25">
      <c r="AE552145" s="36"/>
      <c r="AF552145" s="36"/>
    </row>
    <row r="552241" spans="31:32" x14ac:dyDescent="0.25">
      <c r="AE552241" s="34"/>
      <c r="AF552241" s="34"/>
    </row>
    <row r="552249" spans="31:32" x14ac:dyDescent="0.25">
      <c r="AE552249" s="36"/>
      <c r="AF552249" s="36"/>
    </row>
    <row r="552345" spans="31:32" x14ac:dyDescent="0.25">
      <c r="AE552345" s="34"/>
      <c r="AF552345" s="34"/>
    </row>
    <row r="552353" spans="31:32" x14ac:dyDescent="0.25">
      <c r="AE552353" s="36"/>
      <c r="AF552353" s="36"/>
    </row>
    <row r="552449" spans="31:32" x14ac:dyDescent="0.25">
      <c r="AE552449" s="34"/>
      <c r="AF552449" s="34"/>
    </row>
    <row r="552457" spans="31:32" x14ac:dyDescent="0.25">
      <c r="AE552457" s="36"/>
      <c r="AF552457" s="36"/>
    </row>
    <row r="552553" spans="31:32" x14ac:dyDescent="0.25">
      <c r="AE552553" s="34"/>
      <c r="AF552553" s="34"/>
    </row>
    <row r="552561" spans="31:32" x14ac:dyDescent="0.25">
      <c r="AE552561" s="36"/>
      <c r="AF552561" s="36"/>
    </row>
    <row r="552657" spans="31:32" x14ac:dyDescent="0.25">
      <c r="AE552657" s="34"/>
      <c r="AF552657" s="34"/>
    </row>
    <row r="552665" spans="31:32" x14ac:dyDescent="0.25">
      <c r="AE552665" s="36"/>
      <c r="AF552665" s="36"/>
    </row>
    <row r="552761" spans="31:32" x14ac:dyDescent="0.25">
      <c r="AE552761" s="34"/>
      <c r="AF552761" s="34"/>
    </row>
    <row r="552769" spans="31:32" x14ac:dyDescent="0.25">
      <c r="AE552769" s="36"/>
      <c r="AF552769" s="36"/>
    </row>
    <row r="552865" spans="31:32" x14ac:dyDescent="0.25">
      <c r="AE552865" s="34"/>
      <c r="AF552865" s="34"/>
    </row>
    <row r="552873" spans="31:32" x14ac:dyDescent="0.25">
      <c r="AE552873" s="36"/>
      <c r="AF552873" s="36"/>
    </row>
    <row r="552969" spans="31:32" x14ac:dyDescent="0.25">
      <c r="AE552969" s="34"/>
      <c r="AF552969" s="34"/>
    </row>
    <row r="552977" spans="31:32" x14ac:dyDescent="0.25">
      <c r="AE552977" s="36"/>
      <c r="AF552977" s="36"/>
    </row>
    <row r="553073" spans="31:32" x14ac:dyDescent="0.25">
      <c r="AE553073" s="34"/>
      <c r="AF553073" s="34"/>
    </row>
    <row r="553081" spans="31:32" x14ac:dyDescent="0.25">
      <c r="AE553081" s="36"/>
      <c r="AF553081" s="36"/>
    </row>
    <row r="553177" spans="31:32" x14ac:dyDescent="0.25">
      <c r="AE553177" s="34"/>
      <c r="AF553177" s="34"/>
    </row>
    <row r="553185" spans="31:32" x14ac:dyDescent="0.25">
      <c r="AE553185" s="36"/>
      <c r="AF553185" s="36"/>
    </row>
    <row r="553281" spans="31:32" x14ac:dyDescent="0.25">
      <c r="AE553281" s="34"/>
      <c r="AF553281" s="34"/>
    </row>
    <row r="553289" spans="31:32" x14ac:dyDescent="0.25">
      <c r="AE553289" s="36"/>
      <c r="AF553289" s="36"/>
    </row>
    <row r="553385" spans="31:32" x14ac:dyDescent="0.25">
      <c r="AE553385" s="34"/>
      <c r="AF553385" s="34"/>
    </row>
    <row r="553393" spans="31:32" x14ac:dyDescent="0.25">
      <c r="AE553393" s="36"/>
      <c r="AF553393" s="36"/>
    </row>
    <row r="553489" spans="31:32" x14ac:dyDescent="0.25">
      <c r="AE553489" s="34"/>
      <c r="AF553489" s="34"/>
    </row>
    <row r="553497" spans="31:32" x14ac:dyDescent="0.25">
      <c r="AE553497" s="36"/>
      <c r="AF553497" s="36"/>
    </row>
    <row r="553593" spans="31:32" x14ac:dyDescent="0.25">
      <c r="AE553593" s="34"/>
      <c r="AF553593" s="34"/>
    </row>
    <row r="553601" spans="31:32" x14ac:dyDescent="0.25">
      <c r="AE553601" s="36"/>
      <c r="AF553601" s="36"/>
    </row>
    <row r="553697" spans="31:32" x14ac:dyDescent="0.25">
      <c r="AE553697" s="34"/>
      <c r="AF553697" s="34"/>
    </row>
    <row r="553705" spans="31:32" x14ac:dyDescent="0.25">
      <c r="AE553705" s="36"/>
      <c r="AF553705" s="36"/>
    </row>
    <row r="553801" spans="31:32" x14ac:dyDescent="0.25">
      <c r="AE553801" s="34"/>
      <c r="AF553801" s="34"/>
    </row>
    <row r="553809" spans="31:32" x14ac:dyDescent="0.25">
      <c r="AE553809" s="36"/>
      <c r="AF553809" s="36"/>
    </row>
    <row r="553905" spans="31:32" x14ac:dyDescent="0.25">
      <c r="AE553905" s="34"/>
      <c r="AF553905" s="34"/>
    </row>
    <row r="553913" spans="31:32" x14ac:dyDescent="0.25">
      <c r="AE553913" s="36"/>
      <c r="AF553913" s="36"/>
    </row>
    <row r="554009" spans="31:32" x14ac:dyDescent="0.25">
      <c r="AE554009" s="34"/>
      <c r="AF554009" s="34"/>
    </row>
    <row r="554017" spans="31:32" x14ac:dyDescent="0.25">
      <c r="AE554017" s="36"/>
      <c r="AF554017" s="36"/>
    </row>
    <row r="554113" spans="31:32" x14ac:dyDescent="0.25">
      <c r="AE554113" s="34"/>
      <c r="AF554113" s="34"/>
    </row>
    <row r="554121" spans="31:32" x14ac:dyDescent="0.25">
      <c r="AE554121" s="36"/>
      <c r="AF554121" s="36"/>
    </row>
    <row r="554217" spans="31:32" x14ac:dyDescent="0.25">
      <c r="AE554217" s="34"/>
      <c r="AF554217" s="34"/>
    </row>
    <row r="554225" spans="31:32" x14ac:dyDescent="0.25">
      <c r="AE554225" s="36"/>
      <c r="AF554225" s="36"/>
    </row>
    <row r="554321" spans="31:32" x14ac:dyDescent="0.25">
      <c r="AE554321" s="34"/>
      <c r="AF554321" s="34"/>
    </row>
    <row r="554329" spans="31:32" x14ac:dyDescent="0.25">
      <c r="AE554329" s="36"/>
      <c r="AF554329" s="36"/>
    </row>
    <row r="554425" spans="31:32" x14ac:dyDescent="0.25">
      <c r="AE554425" s="34"/>
      <c r="AF554425" s="34"/>
    </row>
    <row r="554433" spans="31:32" x14ac:dyDescent="0.25">
      <c r="AE554433" s="36"/>
      <c r="AF554433" s="36"/>
    </row>
    <row r="554529" spans="31:32" x14ac:dyDescent="0.25">
      <c r="AE554529" s="34"/>
      <c r="AF554529" s="34"/>
    </row>
    <row r="554537" spans="31:32" x14ac:dyDescent="0.25">
      <c r="AE554537" s="36"/>
      <c r="AF554537" s="36"/>
    </row>
    <row r="554633" spans="31:32" x14ac:dyDescent="0.25">
      <c r="AE554633" s="34"/>
      <c r="AF554633" s="34"/>
    </row>
    <row r="554641" spans="31:32" x14ac:dyDescent="0.25">
      <c r="AE554641" s="36"/>
      <c r="AF554641" s="36"/>
    </row>
    <row r="554737" spans="31:32" x14ac:dyDescent="0.25">
      <c r="AE554737" s="34"/>
      <c r="AF554737" s="34"/>
    </row>
    <row r="554745" spans="31:32" x14ac:dyDescent="0.25">
      <c r="AE554745" s="36"/>
      <c r="AF554745" s="36"/>
    </row>
    <row r="554841" spans="31:32" x14ac:dyDescent="0.25">
      <c r="AE554841" s="34"/>
      <c r="AF554841" s="34"/>
    </row>
    <row r="554849" spans="31:32" x14ac:dyDescent="0.25">
      <c r="AE554849" s="36"/>
      <c r="AF554849" s="36"/>
    </row>
    <row r="554945" spans="31:32" x14ac:dyDescent="0.25">
      <c r="AE554945" s="34"/>
      <c r="AF554945" s="34"/>
    </row>
    <row r="554953" spans="31:32" x14ac:dyDescent="0.25">
      <c r="AE554953" s="36"/>
      <c r="AF554953" s="36"/>
    </row>
    <row r="555049" spans="31:32" x14ac:dyDescent="0.25">
      <c r="AE555049" s="34"/>
      <c r="AF555049" s="34"/>
    </row>
    <row r="555057" spans="31:32" x14ac:dyDescent="0.25">
      <c r="AE555057" s="36"/>
      <c r="AF555057" s="36"/>
    </row>
    <row r="555153" spans="31:32" x14ac:dyDescent="0.25">
      <c r="AE555153" s="34"/>
      <c r="AF555153" s="34"/>
    </row>
    <row r="555161" spans="31:32" x14ac:dyDescent="0.25">
      <c r="AE555161" s="36"/>
      <c r="AF555161" s="36"/>
    </row>
    <row r="555257" spans="31:32" x14ac:dyDescent="0.25">
      <c r="AE555257" s="34"/>
      <c r="AF555257" s="34"/>
    </row>
    <row r="555265" spans="31:32" x14ac:dyDescent="0.25">
      <c r="AE555265" s="36"/>
      <c r="AF555265" s="36"/>
    </row>
    <row r="555361" spans="31:32" x14ac:dyDescent="0.25">
      <c r="AE555361" s="34"/>
      <c r="AF555361" s="34"/>
    </row>
    <row r="555369" spans="31:32" x14ac:dyDescent="0.25">
      <c r="AE555369" s="36"/>
      <c r="AF555369" s="36"/>
    </row>
    <row r="555465" spans="31:32" x14ac:dyDescent="0.25">
      <c r="AE555465" s="34"/>
      <c r="AF555465" s="34"/>
    </row>
    <row r="555473" spans="31:32" x14ac:dyDescent="0.25">
      <c r="AE555473" s="36"/>
      <c r="AF555473" s="36"/>
    </row>
    <row r="555569" spans="31:32" x14ac:dyDescent="0.25">
      <c r="AE555569" s="34"/>
      <c r="AF555569" s="34"/>
    </row>
    <row r="555577" spans="31:32" x14ac:dyDescent="0.25">
      <c r="AE555577" s="36"/>
      <c r="AF555577" s="36"/>
    </row>
    <row r="555673" spans="31:32" x14ac:dyDescent="0.25">
      <c r="AE555673" s="34"/>
      <c r="AF555673" s="34"/>
    </row>
    <row r="555681" spans="31:32" x14ac:dyDescent="0.25">
      <c r="AE555681" s="36"/>
      <c r="AF555681" s="36"/>
    </row>
    <row r="555777" spans="31:32" x14ac:dyDescent="0.25">
      <c r="AE555777" s="34"/>
      <c r="AF555777" s="34"/>
    </row>
    <row r="555785" spans="31:32" x14ac:dyDescent="0.25">
      <c r="AE555785" s="36"/>
      <c r="AF555785" s="36"/>
    </row>
    <row r="555881" spans="31:32" x14ac:dyDescent="0.25">
      <c r="AE555881" s="34"/>
      <c r="AF555881" s="34"/>
    </row>
    <row r="555889" spans="31:32" x14ac:dyDescent="0.25">
      <c r="AE555889" s="36"/>
      <c r="AF555889" s="36"/>
    </row>
    <row r="555985" spans="31:32" x14ac:dyDescent="0.25">
      <c r="AE555985" s="34"/>
      <c r="AF555985" s="34"/>
    </row>
    <row r="555993" spans="31:32" x14ac:dyDescent="0.25">
      <c r="AE555993" s="36"/>
      <c r="AF555993" s="36"/>
    </row>
    <row r="556089" spans="31:32" x14ac:dyDescent="0.25">
      <c r="AE556089" s="34"/>
      <c r="AF556089" s="34"/>
    </row>
    <row r="556097" spans="31:32" x14ac:dyDescent="0.25">
      <c r="AE556097" s="36"/>
      <c r="AF556097" s="36"/>
    </row>
    <row r="556193" spans="31:32" x14ac:dyDescent="0.25">
      <c r="AE556193" s="34"/>
      <c r="AF556193" s="34"/>
    </row>
    <row r="556201" spans="31:32" x14ac:dyDescent="0.25">
      <c r="AE556201" s="36"/>
      <c r="AF556201" s="36"/>
    </row>
    <row r="556297" spans="31:32" x14ac:dyDescent="0.25">
      <c r="AE556297" s="34"/>
      <c r="AF556297" s="34"/>
    </row>
    <row r="556305" spans="31:32" x14ac:dyDescent="0.25">
      <c r="AE556305" s="36"/>
      <c r="AF556305" s="36"/>
    </row>
    <row r="556401" spans="31:32" x14ac:dyDescent="0.25">
      <c r="AE556401" s="34"/>
      <c r="AF556401" s="34"/>
    </row>
    <row r="556409" spans="31:32" x14ac:dyDescent="0.25">
      <c r="AE556409" s="36"/>
      <c r="AF556409" s="36"/>
    </row>
    <row r="556505" spans="31:32" x14ac:dyDescent="0.25">
      <c r="AE556505" s="34"/>
      <c r="AF556505" s="34"/>
    </row>
    <row r="556513" spans="31:32" x14ac:dyDescent="0.25">
      <c r="AE556513" s="36"/>
      <c r="AF556513" s="36"/>
    </row>
    <row r="556609" spans="31:32" x14ac:dyDescent="0.25">
      <c r="AE556609" s="34"/>
      <c r="AF556609" s="34"/>
    </row>
    <row r="556617" spans="31:32" x14ac:dyDescent="0.25">
      <c r="AE556617" s="36"/>
      <c r="AF556617" s="36"/>
    </row>
    <row r="556713" spans="31:32" x14ac:dyDescent="0.25">
      <c r="AE556713" s="34"/>
      <c r="AF556713" s="34"/>
    </row>
    <row r="556721" spans="31:32" x14ac:dyDescent="0.25">
      <c r="AE556721" s="36"/>
      <c r="AF556721" s="36"/>
    </row>
    <row r="556817" spans="31:32" x14ac:dyDescent="0.25">
      <c r="AE556817" s="34"/>
      <c r="AF556817" s="34"/>
    </row>
    <row r="556825" spans="31:32" x14ac:dyDescent="0.25">
      <c r="AE556825" s="36"/>
      <c r="AF556825" s="36"/>
    </row>
    <row r="556921" spans="31:32" x14ac:dyDescent="0.25">
      <c r="AE556921" s="34"/>
      <c r="AF556921" s="34"/>
    </row>
    <row r="556929" spans="31:32" x14ac:dyDescent="0.25">
      <c r="AE556929" s="36"/>
      <c r="AF556929" s="36"/>
    </row>
    <row r="557025" spans="31:32" x14ac:dyDescent="0.25">
      <c r="AE557025" s="34"/>
      <c r="AF557025" s="34"/>
    </row>
    <row r="557033" spans="31:32" x14ac:dyDescent="0.25">
      <c r="AE557033" s="36"/>
      <c r="AF557033" s="36"/>
    </row>
    <row r="557129" spans="31:32" x14ac:dyDescent="0.25">
      <c r="AE557129" s="34"/>
      <c r="AF557129" s="34"/>
    </row>
    <row r="557137" spans="31:32" x14ac:dyDescent="0.25">
      <c r="AE557137" s="36"/>
      <c r="AF557137" s="36"/>
    </row>
    <row r="557233" spans="31:32" x14ac:dyDescent="0.25">
      <c r="AE557233" s="34"/>
      <c r="AF557233" s="34"/>
    </row>
    <row r="557241" spans="31:32" x14ac:dyDescent="0.25">
      <c r="AE557241" s="36"/>
      <c r="AF557241" s="36"/>
    </row>
    <row r="557337" spans="31:32" x14ac:dyDescent="0.25">
      <c r="AE557337" s="34"/>
      <c r="AF557337" s="34"/>
    </row>
    <row r="557345" spans="31:32" x14ac:dyDescent="0.25">
      <c r="AE557345" s="36"/>
      <c r="AF557345" s="36"/>
    </row>
    <row r="557441" spans="31:32" x14ac:dyDescent="0.25">
      <c r="AE557441" s="34"/>
      <c r="AF557441" s="34"/>
    </row>
    <row r="557449" spans="31:32" x14ac:dyDescent="0.25">
      <c r="AE557449" s="36"/>
      <c r="AF557449" s="36"/>
    </row>
    <row r="557545" spans="31:32" x14ac:dyDescent="0.25">
      <c r="AE557545" s="34"/>
      <c r="AF557545" s="34"/>
    </row>
    <row r="557553" spans="31:32" x14ac:dyDescent="0.25">
      <c r="AE557553" s="36"/>
      <c r="AF557553" s="36"/>
    </row>
    <row r="557649" spans="31:32" x14ac:dyDescent="0.25">
      <c r="AE557649" s="34"/>
      <c r="AF557649" s="34"/>
    </row>
    <row r="557657" spans="31:32" x14ac:dyDescent="0.25">
      <c r="AE557657" s="36"/>
      <c r="AF557657" s="36"/>
    </row>
    <row r="557753" spans="31:32" x14ac:dyDescent="0.25">
      <c r="AE557753" s="34"/>
      <c r="AF557753" s="34"/>
    </row>
    <row r="557761" spans="31:32" x14ac:dyDescent="0.25">
      <c r="AE557761" s="36"/>
      <c r="AF557761" s="36"/>
    </row>
    <row r="557857" spans="31:32" x14ac:dyDescent="0.25">
      <c r="AE557857" s="34"/>
      <c r="AF557857" s="34"/>
    </row>
    <row r="557865" spans="31:32" x14ac:dyDescent="0.25">
      <c r="AE557865" s="36"/>
      <c r="AF557865" s="36"/>
    </row>
    <row r="557961" spans="31:32" x14ac:dyDescent="0.25">
      <c r="AE557961" s="34"/>
      <c r="AF557961" s="34"/>
    </row>
    <row r="557969" spans="31:32" x14ac:dyDescent="0.25">
      <c r="AE557969" s="36"/>
      <c r="AF557969" s="36"/>
    </row>
    <row r="558065" spans="31:32" x14ac:dyDescent="0.25">
      <c r="AE558065" s="34"/>
      <c r="AF558065" s="34"/>
    </row>
    <row r="558073" spans="31:32" x14ac:dyDescent="0.25">
      <c r="AE558073" s="36"/>
      <c r="AF558073" s="36"/>
    </row>
    <row r="558169" spans="31:32" x14ac:dyDescent="0.25">
      <c r="AE558169" s="34"/>
      <c r="AF558169" s="34"/>
    </row>
    <row r="558177" spans="31:32" x14ac:dyDescent="0.25">
      <c r="AE558177" s="36"/>
      <c r="AF558177" s="36"/>
    </row>
    <row r="558273" spans="31:32" x14ac:dyDescent="0.25">
      <c r="AE558273" s="34"/>
      <c r="AF558273" s="34"/>
    </row>
    <row r="558281" spans="31:32" x14ac:dyDescent="0.25">
      <c r="AE558281" s="36"/>
      <c r="AF558281" s="36"/>
    </row>
    <row r="558377" spans="31:32" x14ac:dyDescent="0.25">
      <c r="AE558377" s="34"/>
      <c r="AF558377" s="34"/>
    </row>
    <row r="558385" spans="31:32" x14ac:dyDescent="0.25">
      <c r="AE558385" s="36"/>
      <c r="AF558385" s="36"/>
    </row>
    <row r="558481" spans="31:32" x14ac:dyDescent="0.25">
      <c r="AE558481" s="34"/>
      <c r="AF558481" s="34"/>
    </row>
    <row r="558489" spans="31:32" x14ac:dyDescent="0.25">
      <c r="AE558489" s="36"/>
      <c r="AF558489" s="36"/>
    </row>
    <row r="558585" spans="31:32" x14ac:dyDescent="0.25">
      <c r="AE558585" s="34"/>
      <c r="AF558585" s="34"/>
    </row>
    <row r="558593" spans="31:32" x14ac:dyDescent="0.25">
      <c r="AE558593" s="36"/>
      <c r="AF558593" s="36"/>
    </row>
    <row r="558689" spans="31:32" x14ac:dyDescent="0.25">
      <c r="AE558689" s="34"/>
      <c r="AF558689" s="34"/>
    </row>
    <row r="558697" spans="31:32" x14ac:dyDescent="0.25">
      <c r="AE558697" s="36"/>
      <c r="AF558697" s="36"/>
    </row>
    <row r="558793" spans="31:32" x14ac:dyDescent="0.25">
      <c r="AE558793" s="34"/>
      <c r="AF558793" s="34"/>
    </row>
    <row r="558801" spans="31:32" x14ac:dyDescent="0.25">
      <c r="AE558801" s="36"/>
      <c r="AF558801" s="36"/>
    </row>
    <row r="558897" spans="31:32" x14ac:dyDescent="0.25">
      <c r="AE558897" s="34"/>
      <c r="AF558897" s="34"/>
    </row>
    <row r="558905" spans="31:32" x14ac:dyDescent="0.25">
      <c r="AE558905" s="36"/>
      <c r="AF558905" s="36"/>
    </row>
    <row r="559001" spans="31:32" x14ac:dyDescent="0.25">
      <c r="AE559001" s="34"/>
      <c r="AF559001" s="34"/>
    </row>
    <row r="559009" spans="31:32" x14ac:dyDescent="0.25">
      <c r="AE559009" s="36"/>
      <c r="AF559009" s="36"/>
    </row>
    <row r="559105" spans="31:32" x14ac:dyDescent="0.25">
      <c r="AE559105" s="34"/>
      <c r="AF559105" s="34"/>
    </row>
    <row r="559113" spans="31:32" x14ac:dyDescent="0.25">
      <c r="AE559113" s="36"/>
      <c r="AF559113" s="36"/>
    </row>
    <row r="559209" spans="31:32" x14ac:dyDescent="0.25">
      <c r="AE559209" s="34"/>
      <c r="AF559209" s="34"/>
    </row>
    <row r="559217" spans="31:32" x14ac:dyDescent="0.25">
      <c r="AE559217" s="36"/>
      <c r="AF559217" s="36"/>
    </row>
    <row r="559313" spans="31:32" x14ac:dyDescent="0.25">
      <c r="AE559313" s="34"/>
      <c r="AF559313" s="34"/>
    </row>
    <row r="559321" spans="31:32" x14ac:dyDescent="0.25">
      <c r="AE559321" s="36"/>
      <c r="AF559321" s="36"/>
    </row>
    <row r="559417" spans="31:32" x14ac:dyDescent="0.25">
      <c r="AE559417" s="34"/>
      <c r="AF559417" s="34"/>
    </row>
    <row r="559425" spans="31:32" x14ac:dyDescent="0.25">
      <c r="AE559425" s="36"/>
      <c r="AF559425" s="36"/>
    </row>
    <row r="559521" spans="31:32" x14ac:dyDescent="0.25">
      <c r="AE559521" s="34"/>
      <c r="AF559521" s="34"/>
    </row>
    <row r="559529" spans="31:32" x14ac:dyDescent="0.25">
      <c r="AE559529" s="36"/>
      <c r="AF559529" s="36"/>
    </row>
    <row r="559625" spans="31:32" x14ac:dyDescent="0.25">
      <c r="AE559625" s="34"/>
      <c r="AF559625" s="34"/>
    </row>
    <row r="559633" spans="31:32" x14ac:dyDescent="0.25">
      <c r="AE559633" s="36"/>
      <c r="AF559633" s="36"/>
    </row>
    <row r="559729" spans="31:32" x14ac:dyDescent="0.25">
      <c r="AE559729" s="34"/>
      <c r="AF559729" s="34"/>
    </row>
    <row r="559737" spans="31:32" x14ac:dyDescent="0.25">
      <c r="AE559737" s="36"/>
      <c r="AF559737" s="36"/>
    </row>
    <row r="559833" spans="31:32" x14ac:dyDescent="0.25">
      <c r="AE559833" s="34"/>
      <c r="AF559833" s="34"/>
    </row>
    <row r="559841" spans="31:32" x14ac:dyDescent="0.25">
      <c r="AE559841" s="36"/>
      <c r="AF559841" s="36"/>
    </row>
    <row r="559937" spans="31:32" x14ac:dyDescent="0.25">
      <c r="AE559937" s="34"/>
      <c r="AF559937" s="34"/>
    </row>
    <row r="559945" spans="31:32" x14ac:dyDescent="0.25">
      <c r="AE559945" s="36"/>
      <c r="AF559945" s="36"/>
    </row>
    <row r="560041" spans="31:32" x14ac:dyDescent="0.25">
      <c r="AE560041" s="34"/>
      <c r="AF560041" s="34"/>
    </row>
    <row r="560049" spans="31:32" x14ac:dyDescent="0.25">
      <c r="AE560049" s="36"/>
      <c r="AF560049" s="36"/>
    </row>
    <row r="560145" spans="31:32" x14ac:dyDescent="0.25">
      <c r="AE560145" s="34"/>
      <c r="AF560145" s="34"/>
    </row>
    <row r="560153" spans="31:32" x14ac:dyDescent="0.25">
      <c r="AE560153" s="36"/>
      <c r="AF560153" s="36"/>
    </row>
    <row r="560249" spans="31:32" x14ac:dyDescent="0.25">
      <c r="AE560249" s="34"/>
      <c r="AF560249" s="34"/>
    </row>
    <row r="560257" spans="31:32" x14ac:dyDescent="0.25">
      <c r="AE560257" s="36"/>
      <c r="AF560257" s="36"/>
    </row>
    <row r="560353" spans="31:32" x14ac:dyDescent="0.25">
      <c r="AE560353" s="34"/>
      <c r="AF560353" s="34"/>
    </row>
    <row r="560361" spans="31:32" x14ac:dyDescent="0.25">
      <c r="AE560361" s="36"/>
      <c r="AF560361" s="36"/>
    </row>
    <row r="560457" spans="31:32" x14ac:dyDescent="0.25">
      <c r="AE560457" s="34"/>
      <c r="AF560457" s="34"/>
    </row>
    <row r="560465" spans="31:32" x14ac:dyDescent="0.25">
      <c r="AE560465" s="36"/>
      <c r="AF560465" s="36"/>
    </row>
    <row r="560561" spans="31:32" x14ac:dyDescent="0.25">
      <c r="AE560561" s="34"/>
      <c r="AF560561" s="34"/>
    </row>
    <row r="560569" spans="31:32" x14ac:dyDescent="0.25">
      <c r="AE560569" s="36"/>
      <c r="AF560569" s="36"/>
    </row>
    <row r="560665" spans="31:32" x14ac:dyDescent="0.25">
      <c r="AE560665" s="34"/>
      <c r="AF560665" s="34"/>
    </row>
    <row r="560673" spans="31:32" x14ac:dyDescent="0.25">
      <c r="AE560673" s="36"/>
      <c r="AF560673" s="36"/>
    </row>
    <row r="560769" spans="31:32" x14ac:dyDescent="0.25">
      <c r="AE560769" s="34"/>
      <c r="AF560769" s="34"/>
    </row>
    <row r="560777" spans="31:32" x14ac:dyDescent="0.25">
      <c r="AE560777" s="36"/>
      <c r="AF560777" s="36"/>
    </row>
    <row r="560873" spans="31:32" x14ac:dyDescent="0.25">
      <c r="AE560873" s="34"/>
      <c r="AF560873" s="34"/>
    </row>
    <row r="560881" spans="31:32" x14ac:dyDescent="0.25">
      <c r="AE560881" s="36"/>
      <c r="AF560881" s="36"/>
    </row>
    <row r="560977" spans="31:32" x14ac:dyDescent="0.25">
      <c r="AE560977" s="34"/>
      <c r="AF560977" s="34"/>
    </row>
    <row r="560985" spans="31:32" x14ac:dyDescent="0.25">
      <c r="AE560985" s="36"/>
      <c r="AF560985" s="36"/>
    </row>
    <row r="561081" spans="31:32" x14ac:dyDescent="0.25">
      <c r="AE561081" s="34"/>
      <c r="AF561081" s="34"/>
    </row>
    <row r="561089" spans="31:32" x14ac:dyDescent="0.25">
      <c r="AE561089" s="36"/>
      <c r="AF561089" s="36"/>
    </row>
    <row r="561185" spans="31:32" x14ac:dyDescent="0.25">
      <c r="AE561185" s="34"/>
      <c r="AF561185" s="34"/>
    </row>
    <row r="561193" spans="31:32" x14ac:dyDescent="0.25">
      <c r="AE561193" s="36"/>
      <c r="AF561193" s="36"/>
    </row>
    <row r="561289" spans="31:32" x14ac:dyDescent="0.25">
      <c r="AE561289" s="34"/>
      <c r="AF561289" s="34"/>
    </row>
    <row r="561297" spans="31:32" x14ac:dyDescent="0.25">
      <c r="AE561297" s="36"/>
      <c r="AF561297" s="36"/>
    </row>
    <row r="561393" spans="31:32" x14ac:dyDescent="0.25">
      <c r="AE561393" s="34"/>
      <c r="AF561393" s="34"/>
    </row>
    <row r="561401" spans="31:32" x14ac:dyDescent="0.25">
      <c r="AE561401" s="36"/>
      <c r="AF561401" s="36"/>
    </row>
    <row r="561497" spans="31:32" x14ac:dyDescent="0.25">
      <c r="AE561497" s="34"/>
      <c r="AF561497" s="34"/>
    </row>
    <row r="561505" spans="31:32" x14ac:dyDescent="0.25">
      <c r="AE561505" s="36"/>
      <c r="AF561505" s="36"/>
    </row>
    <row r="561601" spans="31:32" x14ac:dyDescent="0.25">
      <c r="AE561601" s="34"/>
      <c r="AF561601" s="34"/>
    </row>
    <row r="561609" spans="31:32" x14ac:dyDescent="0.25">
      <c r="AE561609" s="36"/>
      <c r="AF561609" s="36"/>
    </row>
    <row r="561705" spans="31:32" x14ac:dyDescent="0.25">
      <c r="AE561705" s="34"/>
      <c r="AF561705" s="34"/>
    </row>
    <row r="561713" spans="31:32" x14ac:dyDescent="0.25">
      <c r="AE561713" s="36"/>
      <c r="AF561713" s="36"/>
    </row>
    <row r="561809" spans="31:32" x14ac:dyDescent="0.25">
      <c r="AE561809" s="34"/>
      <c r="AF561809" s="34"/>
    </row>
    <row r="561817" spans="31:32" x14ac:dyDescent="0.25">
      <c r="AE561817" s="36"/>
      <c r="AF561817" s="36"/>
    </row>
    <row r="561913" spans="31:32" x14ac:dyDescent="0.25">
      <c r="AE561913" s="34"/>
      <c r="AF561913" s="34"/>
    </row>
    <row r="561921" spans="31:32" x14ac:dyDescent="0.25">
      <c r="AE561921" s="36"/>
      <c r="AF561921" s="36"/>
    </row>
    <row r="562017" spans="31:32" x14ac:dyDescent="0.25">
      <c r="AE562017" s="34"/>
      <c r="AF562017" s="34"/>
    </row>
    <row r="562025" spans="31:32" x14ac:dyDescent="0.25">
      <c r="AE562025" s="36"/>
      <c r="AF562025" s="36"/>
    </row>
    <row r="562121" spans="31:32" x14ac:dyDescent="0.25">
      <c r="AE562121" s="34"/>
      <c r="AF562121" s="34"/>
    </row>
    <row r="562129" spans="31:32" x14ac:dyDescent="0.25">
      <c r="AE562129" s="36"/>
      <c r="AF562129" s="36"/>
    </row>
    <row r="562225" spans="31:32" x14ac:dyDescent="0.25">
      <c r="AE562225" s="34"/>
      <c r="AF562225" s="34"/>
    </row>
    <row r="562233" spans="31:32" x14ac:dyDescent="0.25">
      <c r="AE562233" s="36"/>
      <c r="AF562233" s="36"/>
    </row>
    <row r="562329" spans="31:32" x14ac:dyDescent="0.25">
      <c r="AE562329" s="34"/>
      <c r="AF562329" s="34"/>
    </row>
    <row r="562337" spans="31:32" x14ac:dyDescent="0.25">
      <c r="AE562337" s="36"/>
      <c r="AF562337" s="36"/>
    </row>
    <row r="562433" spans="31:32" x14ac:dyDescent="0.25">
      <c r="AE562433" s="34"/>
      <c r="AF562433" s="34"/>
    </row>
    <row r="562441" spans="31:32" x14ac:dyDescent="0.25">
      <c r="AE562441" s="36"/>
      <c r="AF562441" s="36"/>
    </row>
    <row r="562537" spans="31:32" x14ac:dyDescent="0.25">
      <c r="AE562537" s="34"/>
      <c r="AF562537" s="34"/>
    </row>
    <row r="562545" spans="31:32" x14ac:dyDescent="0.25">
      <c r="AE562545" s="36"/>
      <c r="AF562545" s="36"/>
    </row>
    <row r="562641" spans="31:32" x14ac:dyDescent="0.25">
      <c r="AE562641" s="34"/>
      <c r="AF562641" s="34"/>
    </row>
    <row r="562649" spans="31:32" x14ac:dyDescent="0.25">
      <c r="AE562649" s="36"/>
      <c r="AF562649" s="36"/>
    </row>
    <row r="562745" spans="31:32" x14ac:dyDescent="0.25">
      <c r="AE562745" s="34"/>
      <c r="AF562745" s="34"/>
    </row>
    <row r="562753" spans="31:32" x14ac:dyDescent="0.25">
      <c r="AE562753" s="36"/>
      <c r="AF562753" s="36"/>
    </row>
    <row r="562849" spans="31:32" x14ac:dyDescent="0.25">
      <c r="AE562849" s="34"/>
      <c r="AF562849" s="34"/>
    </row>
    <row r="562857" spans="31:32" x14ac:dyDescent="0.25">
      <c r="AE562857" s="36"/>
      <c r="AF562857" s="36"/>
    </row>
    <row r="562953" spans="31:32" x14ac:dyDescent="0.25">
      <c r="AE562953" s="34"/>
      <c r="AF562953" s="34"/>
    </row>
    <row r="562961" spans="31:32" x14ac:dyDescent="0.25">
      <c r="AE562961" s="36"/>
      <c r="AF562961" s="36"/>
    </row>
    <row r="563057" spans="31:32" x14ac:dyDescent="0.25">
      <c r="AE563057" s="34"/>
      <c r="AF563057" s="34"/>
    </row>
    <row r="563065" spans="31:32" x14ac:dyDescent="0.25">
      <c r="AE563065" s="36"/>
      <c r="AF563065" s="36"/>
    </row>
    <row r="563161" spans="31:32" x14ac:dyDescent="0.25">
      <c r="AE563161" s="34"/>
      <c r="AF563161" s="34"/>
    </row>
    <row r="563169" spans="31:32" x14ac:dyDescent="0.25">
      <c r="AE563169" s="36"/>
      <c r="AF563169" s="36"/>
    </row>
    <row r="563265" spans="31:32" x14ac:dyDescent="0.25">
      <c r="AE563265" s="34"/>
      <c r="AF563265" s="34"/>
    </row>
    <row r="563273" spans="31:32" x14ac:dyDescent="0.25">
      <c r="AE563273" s="36"/>
      <c r="AF563273" s="36"/>
    </row>
    <row r="563369" spans="31:32" x14ac:dyDescent="0.25">
      <c r="AE563369" s="34"/>
      <c r="AF563369" s="34"/>
    </row>
    <row r="563377" spans="31:32" x14ac:dyDescent="0.25">
      <c r="AE563377" s="36"/>
      <c r="AF563377" s="36"/>
    </row>
    <row r="563473" spans="31:32" x14ac:dyDescent="0.25">
      <c r="AE563473" s="34"/>
      <c r="AF563473" s="34"/>
    </row>
    <row r="563481" spans="31:32" x14ac:dyDescent="0.25">
      <c r="AE563481" s="36"/>
      <c r="AF563481" s="36"/>
    </row>
    <row r="563577" spans="31:32" x14ac:dyDescent="0.25">
      <c r="AE563577" s="34"/>
      <c r="AF563577" s="34"/>
    </row>
    <row r="563585" spans="31:32" x14ac:dyDescent="0.25">
      <c r="AE563585" s="36"/>
      <c r="AF563585" s="36"/>
    </row>
    <row r="563681" spans="31:32" x14ac:dyDescent="0.25">
      <c r="AE563681" s="34"/>
      <c r="AF563681" s="34"/>
    </row>
    <row r="563689" spans="31:32" x14ac:dyDescent="0.25">
      <c r="AE563689" s="36"/>
      <c r="AF563689" s="36"/>
    </row>
    <row r="563785" spans="31:32" x14ac:dyDescent="0.25">
      <c r="AE563785" s="34"/>
      <c r="AF563785" s="34"/>
    </row>
    <row r="563793" spans="31:32" x14ac:dyDescent="0.25">
      <c r="AE563793" s="36"/>
      <c r="AF563793" s="36"/>
    </row>
    <row r="563889" spans="31:32" x14ac:dyDescent="0.25">
      <c r="AE563889" s="34"/>
      <c r="AF563889" s="34"/>
    </row>
    <row r="563897" spans="31:32" x14ac:dyDescent="0.25">
      <c r="AE563897" s="36"/>
      <c r="AF563897" s="36"/>
    </row>
    <row r="563993" spans="31:32" x14ac:dyDescent="0.25">
      <c r="AE563993" s="34"/>
      <c r="AF563993" s="34"/>
    </row>
    <row r="564001" spans="31:32" x14ac:dyDescent="0.25">
      <c r="AE564001" s="36"/>
      <c r="AF564001" s="36"/>
    </row>
    <row r="564097" spans="31:32" x14ac:dyDescent="0.25">
      <c r="AE564097" s="34"/>
      <c r="AF564097" s="34"/>
    </row>
    <row r="564105" spans="31:32" x14ac:dyDescent="0.25">
      <c r="AE564105" s="36"/>
      <c r="AF564105" s="36"/>
    </row>
    <row r="564201" spans="31:32" x14ac:dyDescent="0.25">
      <c r="AE564201" s="34"/>
      <c r="AF564201" s="34"/>
    </row>
    <row r="564209" spans="31:32" x14ac:dyDescent="0.25">
      <c r="AE564209" s="36"/>
      <c r="AF564209" s="36"/>
    </row>
    <row r="564305" spans="31:32" x14ac:dyDescent="0.25">
      <c r="AE564305" s="34"/>
      <c r="AF564305" s="34"/>
    </row>
    <row r="564313" spans="31:32" x14ac:dyDescent="0.25">
      <c r="AE564313" s="36"/>
      <c r="AF564313" s="36"/>
    </row>
    <row r="564409" spans="31:32" x14ac:dyDescent="0.25">
      <c r="AE564409" s="34"/>
      <c r="AF564409" s="34"/>
    </row>
    <row r="564417" spans="31:32" x14ac:dyDescent="0.25">
      <c r="AE564417" s="36"/>
      <c r="AF564417" s="36"/>
    </row>
    <row r="564513" spans="31:32" x14ac:dyDescent="0.25">
      <c r="AE564513" s="34"/>
      <c r="AF564513" s="34"/>
    </row>
    <row r="564521" spans="31:32" x14ac:dyDescent="0.25">
      <c r="AE564521" s="36"/>
      <c r="AF564521" s="36"/>
    </row>
    <row r="564617" spans="31:32" x14ac:dyDescent="0.25">
      <c r="AE564617" s="34"/>
      <c r="AF564617" s="34"/>
    </row>
    <row r="564625" spans="31:32" x14ac:dyDescent="0.25">
      <c r="AE564625" s="36"/>
      <c r="AF564625" s="36"/>
    </row>
    <row r="564721" spans="31:32" x14ac:dyDescent="0.25">
      <c r="AE564721" s="34"/>
      <c r="AF564721" s="34"/>
    </row>
    <row r="564729" spans="31:32" x14ac:dyDescent="0.25">
      <c r="AE564729" s="36"/>
      <c r="AF564729" s="36"/>
    </row>
    <row r="564825" spans="31:32" x14ac:dyDescent="0.25">
      <c r="AE564825" s="34"/>
      <c r="AF564825" s="34"/>
    </row>
    <row r="564833" spans="31:32" x14ac:dyDescent="0.25">
      <c r="AE564833" s="36"/>
      <c r="AF564833" s="36"/>
    </row>
    <row r="564929" spans="31:32" x14ac:dyDescent="0.25">
      <c r="AE564929" s="34"/>
      <c r="AF564929" s="34"/>
    </row>
    <row r="564937" spans="31:32" x14ac:dyDescent="0.25">
      <c r="AE564937" s="36"/>
      <c r="AF564937" s="36"/>
    </row>
    <row r="565033" spans="31:32" x14ac:dyDescent="0.25">
      <c r="AE565033" s="34"/>
      <c r="AF565033" s="34"/>
    </row>
    <row r="565041" spans="31:32" x14ac:dyDescent="0.25">
      <c r="AE565041" s="36"/>
      <c r="AF565041" s="36"/>
    </row>
    <row r="565137" spans="31:32" x14ac:dyDescent="0.25">
      <c r="AE565137" s="34"/>
      <c r="AF565137" s="34"/>
    </row>
    <row r="565145" spans="31:32" x14ac:dyDescent="0.25">
      <c r="AE565145" s="36"/>
      <c r="AF565145" s="36"/>
    </row>
    <row r="565241" spans="31:32" x14ac:dyDescent="0.25">
      <c r="AE565241" s="34"/>
      <c r="AF565241" s="34"/>
    </row>
    <row r="565249" spans="31:32" x14ac:dyDescent="0.25">
      <c r="AE565249" s="36"/>
      <c r="AF565249" s="36"/>
    </row>
    <row r="565345" spans="31:32" x14ac:dyDescent="0.25">
      <c r="AE565345" s="34"/>
      <c r="AF565345" s="34"/>
    </row>
    <row r="565353" spans="31:32" x14ac:dyDescent="0.25">
      <c r="AE565353" s="36"/>
      <c r="AF565353" s="36"/>
    </row>
    <row r="565449" spans="31:32" x14ac:dyDescent="0.25">
      <c r="AE565449" s="34"/>
      <c r="AF565449" s="34"/>
    </row>
    <row r="565457" spans="31:32" x14ac:dyDescent="0.25">
      <c r="AE565457" s="36"/>
      <c r="AF565457" s="36"/>
    </row>
    <row r="565553" spans="31:32" x14ac:dyDescent="0.25">
      <c r="AE565553" s="34"/>
      <c r="AF565553" s="34"/>
    </row>
    <row r="565561" spans="31:32" x14ac:dyDescent="0.25">
      <c r="AE565561" s="36"/>
      <c r="AF565561" s="36"/>
    </row>
    <row r="565657" spans="31:32" x14ac:dyDescent="0.25">
      <c r="AE565657" s="34"/>
      <c r="AF565657" s="34"/>
    </row>
    <row r="565665" spans="31:32" x14ac:dyDescent="0.25">
      <c r="AE565665" s="36"/>
      <c r="AF565665" s="36"/>
    </row>
    <row r="565761" spans="31:32" x14ac:dyDescent="0.25">
      <c r="AE565761" s="34"/>
      <c r="AF565761" s="34"/>
    </row>
    <row r="565769" spans="31:32" x14ac:dyDescent="0.25">
      <c r="AE565769" s="36"/>
      <c r="AF565769" s="36"/>
    </row>
    <row r="565865" spans="31:32" x14ac:dyDescent="0.25">
      <c r="AE565865" s="34"/>
      <c r="AF565865" s="34"/>
    </row>
    <row r="565873" spans="31:32" x14ac:dyDescent="0.25">
      <c r="AE565873" s="36"/>
      <c r="AF565873" s="36"/>
    </row>
    <row r="565969" spans="31:32" x14ac:dyDescent="0.25">
      <c r="AE565969" s="34"/>
      <c r="AF565969" s="34"/>
    </row>
    <row r="565977" spans="31:32" x14ac:dyDescent="0.25">
      <c r="AE565977" s="36"/>
      <c r="AF565977" s="36"/>
    </row>
    <row r="566073" spans="31:32" x14ac:dyDescent="0.25">
      <c r="AE566073" s="34"/>
      <c r="AF566073" s="34"/>
    </row>
    <row r="566081" spans="31:32" x14ac:dyDescent="0.25">
      <c r="AE566081" s="36"/>
      <c r="AF566081" s="36"/>
    </row>
    <row r="566177" spans="31:32" x14ac:dyDescent="0.25">
      <c r="AE566177" s="34"/>
      <c r="AF566177" s="34"/>
    </row>
    <row r="566185" spans="31:32" x14ac:dyDescent="0.25">
      <c r="AE566185" s="36"/>
      <c r="AF566185" s="36"/>
    </row>
    <row r="566281" spans="31:32" x14ac:dyDescent="0.25">
      <c r="AE566281" s="34"/>
      <c r="AF566281" s="34"/>
    </row>
    <row r="566289" spans="31:32" x14ac:dyDescent="0.25">
      <c r="AE566289" s="36"/>
      <c r="AF566289" s="36"/>
    </row>
    <row r="566385" spans="31:32" x14ac:dyDescent="0.25">
      <c r="AE566385" s="34"/>
      <c r="AF566385" s="34"/>
    </row>
    <row r="566393" spans="31:32" x14ac:dyDescent="0.25">
      <c r="AE566393" s="36"/>
      <c r="AF566393" s="36"/>
    </row>
    <row r="566489" spans="31:32" x14ac:dyDescent="0.25">
      <c r="AE566489" s="34"/>
      <c r="AF566489" s="34"/>
    </row>
    <row r="566497" spans="31:32" x14ac:dyDescent="0.25">
      <c r="AE566497" s="36"/>
      <c r="AF566497" s="36"/>
    </row>
    <row r="566593" spans="31:32" x14ac:dyDescent="0.25">
      <c r="AE566593" s="34"/>
      <c r="AF566593" s="34"/>
    </row>
    <row r="566601" spans="31:32" x14ac:dyDescent="0.25">
      <c r="AE566601" s="36"/>
      <c r="AF566601" s="36"/>
    </row>
    <row r="566697" spans="31:32" x14ac:dyDescent="0.25">
      <c r="AE566697" s="34"/>
      <c r="AF566697" s="34"/>
    </row>
    <row r="566705" spans="31:32" x14ac:dyDescent="0.25">
      <c r="AE566705" s="36"/>
      <c r="AF566705" s="36"/>
    </row>
    <row r="566801" spans="31:32" x14ac:dyDescent="0.25">
      <c r="AE566801" s="34"/>
      <c r="AF566801" s="34"/>
    </row>
    <row r="566809" spans="31:32" x14ac:dyDescent="0.25">
      <c r="AE566809" s="36"/>
      <c r="AF566809" s="36"/>
    </row>
    <row r="566905" spans="31:32" x14ac:dyDescent="0.25">
      <c r="AE566905" s="34"/>
      <c r="AF566905" s="34"/>
    </row>
    <row r="566913" spans="31:32" x14ac:dyDescent="0.25">
      <c r="AE566913" s="36"/>
      <c r="AF566913" s="36"/>
    </row>
    <row r="567009" spans="31:32" x14ac:dyDescent="0.25">
      <c r="AE567009" s="34"/>
      <c r="AF567009" s="34"/>
    </row>
    <row r="567017" spans="31:32" x14ac:dyDescent="0.25">
      <c r="AE567017" s="36"/>
      <c r="AF567017" s="36"/>
    </row>
    <row r="567113" spans="31:32" x14ac:dyDescent="0.25">
      <c r="AE567113" s="34"/>
      <c r="AF567113" s="34"/>
    </row>
    <row r="567121" spans="31:32" x14ac:dyDescent="0.25">
      <c r="AE567121" s="36"/>
      <c r="AF567121" s="36"/>
    </row>
    <row r="567217" spans="31:32" x14ac:dyDescent="0.25">
      <c r="AE567217" s="34"/>
      <c r="AF567217" s="34"/>
    </row>
    <row r="567225" spans="31:32" x14ac:dyDescent="0.25">
      <c r="AE567225" s="36"/>
      <c r="AF567225" s="36"/>
    </row>
    <row r="567321" spans="31:32" x14ac:dyDescent="0.25">
      <c r="AE567321" s="34"/>
      <c r="AF567321" s="34"/>
    </row>
    <row r="567329" spans="31:32" x14ac:dyDescent="0.25">
      <c r="AE567329" s="36"/>
      <c r="AF567329" s="36"/>
    </row>
    <row r="567425" spans="31:32" x14ac:dyDescent="0.25">
      <c r="AE567425" s="34"/>
      <c r="AF567425" s="34"/>
    </row>
    <row r="567433" spans="31:32" x14ac:dyDescent="0.25">
      <c r="AE567433" s="36"/>
      <c r="AF567433" s="36"/>
    </row>
    <row r="567529" spans="31:32" x14ac:dyDescent="0.25">
      <c r="AE567529" s="34"/>
      <c r="AF567529" s="34"/>
    </row>
    <row r="567537" spans="31:32" x14ac:dyDescent="0.25">
      <c r="AE567537" s="36"/>
      <c r="AF567537" s="36"/>
    </row>
    <row r="567633" spans="31:32" x14ac:dyDescent="0.25">
      <c r="AE567633" s="34"/>
      <c r="AF567633" s="34"/>
    </row>
    <row r="567641" spans="31:32" x14ac:dyDescent="0.25">
      <c r="AE567641" s="36"/>
      <c r="AF567641" s="36"/>
    </row>
    <row r="567737" spans="31:32" x14ac:dyDescent="0.25">
      <c r="AE567737" s="34"/>
      <c r="AF567737" s="34"/>
    </row>
    <row r="567745" spans="31:32" x14ac:dyDescent="0.25">
      <c r="AE567745" s="36"/>
      <c r="AF567745" s="36"/>
    </row>
    <row r="567841" spans="31:32" x14ac:dyDescent="0.25">
      <c r="AE567841" s="34"/>
      <c r="AF567841" s="34"/>
    </row>
    <row r="567849" spans="31:32" x14ac:dyDescent="0.25">
      <c r="AE567849" s="36"/>
      <c r="AF567849" s="36"/>
    </row>
    <row r="567945" spans="31:32" x14ac:dyDescent="0.25">
      <c r="AE567945" s="34"/>
      <c r="AF567945" s="34"/>
    </row>
    <row r="567953" spans="31:32" x14ac:dyDescent="0.25">
      <c r="AE567953" s="36"/>
      <c r="AF567953" s="36"/>
    </row>
    <row r="568049" spans="31:32" x14ac:dyDescent="0.25">
      <c r="AE568049" s="34"/>
      <c r="AF568049" s="34"/>
    </row>
    <row r="568057" spans="31:32" x14ac:dyDescent="0.25">
      <c r="AE568057" s="36"/>
      <c r="AF568057" s="36"/>
    </row>
    <row r="568153" spans="31:32" x14ac:dyDescent="0.25">
      <c r="AE568153" s="34"/>
      <c r="AF568153" s="34"/>
    </row>
    <row r="568161" spans="31:32" x14ac:dyDescent="0.25">
      <c r="AE568161" s="36"/>
      <c r="AF568161" s="36"/>
    </row>
    <row r="568257" spans="31:32" x14ac:dyDescent="0.25">
      <c r="AE568257" s="34"/>
      <c r="AF568257" s="34"/>
    </row>
    <row r="568265" spans="31:32" x14ac:dyDescent="0.25">
      <c r="AE568265" s="36"/>
      <c r="AF568265" s="36"/>
    </row>
    <row r="568361" spans="31:32" x14ac:dyDescent="0.25">
      <c r="AE568361" s="34"/>
      <c r="AF568361" s="34"/>
    </row>
    <row r="568369" spans="31:32" x14ac:dyDescent="0.25">
      <c r="AE568369" s="36"/>
      <c r="AF568369" s="36"/>
    </row>
    <row r="568465" spans="31:32" x14ac:dyDescent="0.25">
      <c r="AE568465" s="34"/>
      <c r="AF568465" s="34"/>
    </row>
    <row r="568473" spans="31:32" x14ac:dyDescent="0.25">
      <c r="AE568473" s="36"/>
      <c r="AF568473" s="36"/>
    </row>
    <row r="568569" spans="31:32" x14ac:dyDescent="0.25">
      <c r="AE568569" s="34"/>
      <c r="AF568569" s="34"/>
    </row>
    <row r="568577" spans="31:32" x14ac:dyDescent="0.25">
      <c r="AE568577" s="36"/>
      <c r="AF568577" s="36"/>
    </row>
    <row r="568673" spans="31:32" x14ac:dyDescent="0.25">
      <c r="AE568673" s="34"/>
      <c r="AF568673" s="34"/>
    </row>
    <row r="568681" spans="31:32" x14ac:dyDescent="0.25">
      <c r="AE568681" s="36"/>
      <c r="AF568681" s="36"/>
    </row>
    <row r="568777" spans="31:32" x14ac:dyDescent="0.25">
      <c r="AE568777" s="34"/>
      <c r="AF568777" s="34"/>
    </row>
    <row r="568785" spans="31:32" x14ac:dyDescent="0.25">
      <c r="AE568785" s="36"/>
      <c r="AF568785" s="36"/>
    </row>
    <row r="568881" spans="31:32" x14ac:dyDescent="0.25">
      <c r="AE568881" s="34"/>
      <c r="AF568881" s="34"/>
    </row>
    <row r="568889" spans="31:32" x14ac:dyDescent="0.25">
      <c r="AE568889" s="36"/>
      <c r="AF568889" s="36"/>
    </row>
    <row r="568985" spans="31:32" x14ac:dyDescent="0.25">
      <c r="AE568985" s="34"/>
      <c r="AF568985" s="34"/>
    </row>
    <row r="568993" spans="31:32" x14ac:dyDescent="0.25">
      <c r="AE568993" s="36"/>
      <c r="AF568993" s="36"/>
    </row>
    <row r="569089" spans="31:32" x14ac:dyDescent="0.25">
      <c r="AE569089" s="34"/>
      <c r="AF569089" s="34"/>
    </row>
    <row r="569097" spans="31:32" x14ac:dyDescent="0.25">
      <c r="AE569097" s="36"/>
      <c r="AF569097" s="36"/>
    </row>
    <row r="569193" spans="31:32" x14ac:dyDescent="0.25">
      <c r="AE569193" s="34"/>
      <c r="AF569193" s="34"/>
    </row>
    <row r="569201" spans="31:32" x14ac:dyDescent="0.25">
      <c r="AE569201" s="36"/>
      <c r="AF569201" s="36"/>
    </row>
    <row r="569297" spans="31:32" x14ac:dyDescent="0.25">
      <c r="AE569297" s="34"/>
      <c r="AF569297" s="34"/>
    </row>
    <row r="569305" spans="31:32" x14ac:dyDescent="0.25">
      <c r="AE569305" s="36"/>
      <c r="AF569305" s="36"/>
    </row>
    <row r="569401" spans="31:32" x14ac:dyDescent="0.25">
      <c r="AE569401" s="34"/>
      <c r="AF569401" s="34"/>
    </row>
    <row r="569409" spans="31:32" x14ac:dyDescent="0.25">
      <c r="AE569409" s="36"/>
      <c r="AF569409" s="36"/>
    </row>
    <row r="569505" spans="31:32" x14ac:dyDescent="0.25">
      <c r="AE569505" s="34"/>
      <c r="AF569505" s="34"/>
    </row>
    <row r="569513" spans="31:32" x14ac:dyDescent="0.25">
      <c r="AE569513" s="36"/>
      <c r="AF569513" s="36"/>
    </row>
    <row r="569609" spans="31:32" x14ac:dyDescent="0.25">
      <c r="AE569609" s="34"/>
      <c r="AF569609" s="34"/>
    </row>
    <row r="569617" spans="31:32" x14ac:dyDescent="0.25">
      <c r="AE569617" s="36"/>
      <c r="AF569617" s="36"/>
    </row>
    <row r="569713" spans="31:32" x14ac:dyDescent="0.25">
      <c r="AE569713" s="34"/>
      <c r="AF569713" s="34"/>
    </row>
    <row r="569721" spans="31:32" x14ac:dyDescent="0.25">
      <c r="AE569721" s="36"/>
      <c r="AF569721" s="36"/>
    </row>
    <row r="569817" spans="31:32" x14ac:dyDescent="0.25">
      <c r="AE569817" s="34"/>
      <c r="AF569817" s="34"/>
    </row>
    <row r="569825" spans="31:32" x14ac:dyDescent="0.25">
      <c r="AE569825" s="36"/>
      <c r="AF569825" s="36"/>
    </row>
    <row r="569921" spans="31:32" x14ac:dyDescent="0.25">
      <c r="AE569921" s="34"/>
      <c r="AF569921" s="34"/>
    </row>
    <row r="569929" spans="31:32" x14ac:dyDescent="0.25">
      <c r="AE569929" s="36"/>
      <c r="AF569929" s="36"/>
    </row>
    <row r="570025" spans="31:32" x14ac:dyDescent="0.25">
      <c r="AE570025" s="34"/>
      <c r="AF570025" s="34"/>
    </row>
    <row r="570033" spans="31:32" x14ac:dyDescent="0.25">
      <c r="AE570033" s="36"/>
      <c r="AF570033" s="36"/>
    </row>
    <row r="570129" spans="31:32" x14ac:dyDescent="0.25">
      <c r="AE570129" s="34"/>
      <c r="AF570129" s="34"/>
    </row>
    <row r="570137" spans="31:32" x14ac:dyDescent="0.25">
      <c r="AE570137" s="36"/>
      <c r="AF570137" s="36"/>
    </row>
    <row r="570233" spans="31:32" x14ac:dyDescent="0.25">
      <c r="AE570233" s="34"/>
      <c r="AF570233" s="34"/>
    </row>
    <row r="570241" spans="31:32" x14ac:dyDescent="0.25">
      <c r="AE570241" s="36"/>
      <c r="AF570241" s="36"/>
    </row>
    <row r="570337" spans="31:32" x14ac:dyDescent="0.25">
      <c r="AE570337" s="34"/>
      <c r="AF570337" s="34"/>
    </row>
    <row r="570345" spans="31:32" x14ac:dyDescent="0.25">
      <c r="AE570345" s="36"/>
      <c r="AF570345" s="36"/>
    </row>
    <row r="570441" spans="31:32" x14ac:dyDescent="0.25">
      <c r="AE570441" s="34"/>
      <c r="AF570441" s="34"/>
    </row>
    <row r="570449" spans="31:32" x14ac:dyDescent="0.25">
      <c r="AE570449" s="36"/>
      <c r="AF570449" s="36"/>
    </row>
    <row r="570545" spans="31:32" x14ac:dyDescent="0.25">
      <c r="AE570545" s="34"/>
      <c r="AF570545" s="34"/>
    </row>
    <row r="570553" spans="31:32" x14ac:dyDescent="0.25">
      <c r="AE570553" s="36"/>
      <c r="AF570553" s="36"/>
    </row>
    <row r="570649" spans="31:32" x14ac:dyDescent="0.25">
      <c r="AE570649" s="34"/>
      <c r="AF570649" s="34"/>
    </row>
    <row r="570657" spans="31:32" x14ac:dyDescent="0.25">
      <c r="AE570657" s="36"/>
      <c r="AF570657" s="36"/>
    </row>
    <row r="570753" spans="31:32" x14ac:dyDescent="0.25">
      <c r="AE570753" s="34"/>
      <c r="AF570753" s="34"/>
    </row>
    <row r="570761" spans="31:32" x14ac:dyDescent="0.25">
      <c r="AE570761" s="36"/>
      <c r="AF570761" s="36"/>
    </row>
    <row r="570857" spans="31:32" x14ac:dyDescent="0.25">
      <c r="AE570857" s="34"/>
      <c r="AF570857" s="34"/>
    </row>
    <row r="570865" spans="31:32" x14ac:dyDescent="0.25">
      <c r="AE570865" s="36"/>
      <c r="AF570865" s="36"/>
    </row>
    <row r="570961" spans="31:32" x14ac:dyDescent="0.25">
      <c r="AE570961" s="34"/>
      <c r="AF570961" s="34"/>
    </row>
    <row r="570969" spans="31:32" x14ac:dyDescent="0.25">
      <c r="AE570969" s="36"/>
      <c r="AF570969" s="36"/>
    </row>
    <row r="571065" spans="31:32" x14ac:dyDescent="0.25">
      <c r="AE571065" s="34"/>
      <c r="AF571065" s="34"/>
    </row>
    <row r="571073" spans="31:32" x14ac:dyDescent="0.25">
      <c r="AE571073" s="36"/>
      <c r="AF571073" s="36"/>
    </row>
    <row r="571169" spans="31:32" x14ac:dyDescent="0.25">
      <c r="AE571169" s="34"/>
      <c r="AF571169" s="34"/>
    </row>
    <row r="571177" spans="31:32" x14ac:dyDescent="0.25">
      <c r="AE571177" s="36"/>
      <c r="AF571177" s="36"/>
    </row>
    <row r="571273" spans="31:32" x14ac:dyDescent="0.25">
      <c r="AE571273" s="34"/>
      <c r="AF571273" s="34"/>
    </row>
    <row r="571281" spans="31:32" x14ac:dyDescent="0.25">
      <c r="AE571281" s="36"/>
      <c r="AF571281" s="36"/>
    </row>
    <row r="571377" spans="31:32" x14ac:dyDescent="0.25">
      <c r="AE571377" s="34"/>
      <c r="AF571377" s="34"/>
    </row>
    <row r="571385" spans="31:32" x14ac:dyDescent="0.25">
      <c r="AE571385" s="36"/>
      <c r="AF571385" s="36"/>
    </row>
    <row r="571481" spans="31:32" x14ac:dyDescent="0.25">
      <c r="AE571481" s="34"/>
      <c r="AF571481" s="34"/>
    </row>
    <row r="571489" spans="31:32" x14ac:dyDescent="0.25">
      <c r="AE571489" s="36"/>
      <c r="AF571489" s="36"/>
    </row>
    <row r="571585" spans="31:32" x14ac:dyDescent="0.25">
      <c r="AE571585" s="34"/>
      <c r="AF571585" s="34"/>
    </row>
    <row r="571593" spans="31:32" x14ac:dyDescent="0.25">
      <c r="AE571593" s="36"/>
      <c r="AF571593" s="36"/>
    </row>
    <row r="571689" spans="31:32" x14ac:dyDescent="0.25">
      <c r="AE571689" s="34"/>
      <c r="AF571689" s="34"/>
    </row>
    <row r="571697" spans="31:32" x14ac:dyDescent="0.25">
      <c r="AE571697" s="36"/>
      <c r="AF571697" s="36"/>
    </row>
    <row r="571793" spans="31:32" x14ac:dyDescent="0.25">
      <c r="AE571793" s="34"/>
      <c r="AF571793" s="34"/>
    </row>
    <row r="571801" spans="31:32" x14ac:dyDescent="0.25">
      <c r="AE571801" s="36"/>
      <c r="AF571801" s="36"/>
    </row>
    <row r="571897" spans="31:32" x14ac:dyDescent="0.25">
      <c r="AE571897" s="34"/>
      <c r="AF571897" s="34"/>
    </row>
    <row r="571905" spans="31:32" x14ac:dyDescent="0.25">
      <c r="AE571905" s="36"/>
      <c r="AF571905" s="36"/>
    </row>
    <row r="572001" spans="31:32" x14ac:dyDescent="0.25">
      <c r="AE572001" s="34"/>
      <c r="AF572001" s="34"/>
    </row>
    <row r="572009" spans="31:32" x14ac:dyDescent="0.25">
      <c r="AE572009" s="36"/>
      <c r="AF572009" s="36"/>
    </row>
    <row r="572105" spans="31:32" x14ac:dyDescent="0.25">
      <c r="AE572105" s="34"/>
      <c r="AF572105" s="34"/>
    </row>
    <row r="572113" spans="31:32" x14ac:dyDescent="0.25">
      <c r="AE572113" s="36"/>
      <c r="AF572113" s="36"/>
    </row>
    <row r="572209" spans="31:32" x14ac:dyDescent="0.25">
      <c r="AE572209" s="34"/>
      <c r="AF572209" s="34"/>
    </row>
    <row r="572217" spans="31:32" x14ac:dyDescent="0.25">
      <c r="AE572217" s="36"/>
      <c r="AF572217" s="36"/>
    </row>
    <row r="572313" spans="31:32" x14ac:dyDescent="0.25">
      <c r="AE572313" s="34"/>
      <c r="AF572313" s="34"/>
    </row>
    <row r="572321" spans="31:32" x14ac:dyDescent="0.25">
      <c r="AE572321" s="36"/>
      <c r="AF572321" s="36"/>
    </row>
    <row r="572417" spans="31:32" x14ac:dyDescent="0.25">
      <c r="AE572417" s="34"/>
      <c r="AF572417" s="34"/>
    </row>
    <row r="572425" spans="31:32" x14ac:dyDescent="0.25">
      <c r="AE572425" s="36"/>
      <c r="AF572425" s="36"/>
    </row>
    <row r="572521" spans="31:32" x14ac:dyDescent="0.25">
      <c r="AE572521" s="34"/>
      <c r="AF572521" s="34"/>
    </row>
    <row r="572529" spans="31:32" x14ac:dyDescent="0.25">
      <c r="AE572529" s="36"/>
      <c r="AF572529" s="36"/>
    </row>
    <row r="572625" spans="31:32" x14ac:dyDescent="0.25">
      <c r="AE572625" s="34"/>
      <c r="AF572625" s="34"/>
    </row>
    <row r="572633" spans="31:32" x14ac:dyDescent="0.25">
      <c r="AE572633" s="36"/>
      <c r="AF572633" s="36"/>
    </row>
    <row r="572729" spans="31:32" x14ac:dyDescent="0.25">
      <c r="AE572729" s="34"/>
      <c r="AF572729" s="34"/>
    </row>
    <row r="572737" spans="31:32" x14ac:dyDescent="0.25">
      <c r="AE572737" s="36"/>
      <c r="AF572737" s="36"/>
    </row>
    <row r="572833" spans="31:32" x14ac:dyDescent="0.25">
      <c r="AE572833" s="34"/>
      <c r="AF572833" s="34"/>
    </row>
    <row r="572841" spans="31:32" x14ac:dyDescent="0.25">
      <c r="AE572841" s="36"/>
      <c r="AF572841" s="36"/>
    </row>
    <row r="572937" spans="31:32" x14ac:dyDescent="0.25">
      <c r="AE572937" s="34"/>
      <c r="AF572937" s="34"/>
    </row>
    <row r="572945" spans="31:32" x14ac:dyDescent="0.25">
      <c r="AE572945" s="36"/>
      <c r="AF572945" s="36"/>
    </row>
    <row r="573041" spans="31:32" x14ac:dyDescent="0.25">
      <c r="AE573041" s="34"/>
      <c r="AF573041" s="34"/>
    </row>
    <row r="573049" spans="31:32" x14ac:dyDescent="0.25">
      <c r="AE573049" s="36"/>
      <c r="AF573049" s="36"/>
    </row>
    <row r="573145" spans="31:32" x14ac:dyDescent="0.25">
      <c r="AE573145" s="34"/>
      <c r="AF573145" s="34"/>
    </row>
    <row r="573153" spans="31:32" x14ac:dyDescent="0.25">
      <c r="AE573153" s="36"/>
      <c r="AF573153" s="36"/>
    </row>
    <row r="573249" spans="31:32" x14ac:dyDescent="0.25">
      <c r="AE573249" s="34"/>
      <c r="AF573249" s="34"/>
    </row>
    <row r="573257" spans="31:32" x14ac:dyDescent="0.25">
      <c r="AE573257" s="36"/>
      <c r="AF573257" s="36"/>
    </row>
    <row r="573353" spans="31:32" x14ac:dyDescent="0.25">
      <c r="AE573353" s="34"/>
      <c r="AF573353" s="34"/>
    </row>
    <row r="573361" spans="31:32" x14ac:dyDescent="0.25">
      <c r="AE573361" s="36"/>
      <c r="AF573361" s="36"/>
    </row>
    <row r="573457" spans="31:32" x14ac:dyDescent="0.25">
      <c r="AE573457" s="34"/>
      <c r="AF573457" s="34"/>
    </row>
    <row r="573465" spans="31:32" x14ac:dyDescent="0.25">
      <c r="AE573465" s="36"/>
      <c r="AF573465" s="36"/>
    </row>
    <row r="573561" spans="31:32" x14ac:dyDescent="0.25">
      <c r="AE573561" s="34"/>
      <c r="AF573561" s="34"/>
    </row>
    <row r="573569" spans="31:32" x14ac:dyDescent="0.25">
      <c r="AE573569" s="36"/>
      <c r="AF573569" s="36"/>
    </row>
    <row r="573665" spans="31:32" x14ac:dyDescent="0.25">
      <c r="AE573665" s="34"/>
      <c r="AF573665" s="34"/>
    </row>
    <row r="573673" spans="31:32" x14ac:dyDescent="0.25">
      <c r="AE573673" s="36"/>
      <c r="AF573673" s="36"/>
    </row>
    <row r="573769" spans="31:32" x14ac:dyDescent="0.25">
      <c r="AE573769" s="34"/>
      <c r="AF573769" s="34"/>
    </row>
    <row r="573777" spans="31:32" x14ac:dyDescent="0.25">
      <c r="AE573777" s="36"/>
      <c r="AF573777" s="36"/>
    </row>
    <row r="573873" spans="31:32" x14ac:dyDescent="0.25">
      <c r="AE573873" s="34"/>
      <c r="AF573873" s="34"/>
    </row>
    <row r="573881" spans="31:32" x14ac:dyDescent="0.25">
      <c r="AE573881" s="36"/>
      <c r="AF573881" s="36"/>
    </row>
    <row r="573977" spans="31:32" x14ac:dyDescent="0.25">
      <c r="AE573977" s="34"/>
      <c r="AF573977" s="34"/>
    </row>
    <row r="573985" spans="31:32" x14ac:dyDescent="0.25">
      <c r="AE573985" s="36"/>
      <c r="AF573985" s="36"/>
    </row>
    <row r="574081" spans="31:32" x14ac:dyDescent="0.25">
      <c r="AE574081" s="34"/>
      <c r="AF574081" s="34"/>
    </row>
    <row r="574089" spans="31:32" x14ac:dyDescent="0.25">
      <c r="AE574089" s="36"/>
      <c r="AF574089" s="36"/>
    </row>
    <row r="574185" spans="31:32" x14ac:dyDescent="0.25">
      <c r="AE574185" s="34"/>
      <c r="AF574185" s="34"/>
    </row>
    <row r="574193" spans="31:32" x14ac:dyDescent="0.25">
      <c r="AE574193" s="36"/>
      <c r="AF574193" s="36"/>
    </row>
    <row r="574289" spans="31:32" x14ac:dyDescent="0.25">
      <c r="AE574289" s="34"/>
      <c r="AF574289" s="34"/>
    </row>
    <row r="574297" spans="31:32" x14ac:dyDescent="0.25">
      <c r="AE574297" s="36"/>
      <c r="AF574297" s="36"/>
    </row>
    <row r="574393" spans="31:32" x14ac:dyDescent="0.25">
      <c r="AE574393" s="34"/>
      <c r="AF574393" s="34"/>
    </row>
    <row r="574401" spans="31:32" x14ac:dyDescent="0.25">
      <c r="AE574401" s="36"/>
      <c r="AF574401" s="36"/>
    </row>
    <row r="574497" spans="31:32" x14ac:dyDescent="0.25">
      <c r="AE574497" s="34"/>
      <c r="AF574497" s="34"/>
    </row>
    <row r="574505" spans="31:32" x14ac:dyDescent="0.25">
      <c r="AE574505" s="36"/>
      <c r="AF574505" s="36"/>
    </row>
    <row r="574601" spans="31:32" x14ac:dyDescent="0.25">
      <c r="AE574601" s="34"/>
      <c r="AF574601" s="34"/>
    </row>
    <row r="574609" spans="31:32" x14ac:dyDescent="0.25">
      <c r="AE574609" s="36"/>
      <c r="AF574609" s="36"/>
    </row>
    <row r="574705" spans="31:32" x14ac:dyDescent="0.25">
      <c r="AE574705" s="34"/>
      <c r="AF574705" s="34"/>
    </row>
    <row r="574713" spans="31:32" x14ac:dyDescent="0.25">
      <c r="AE574713" s="36"/>
      <c r="AF574713" s="36"/>
    </row>
    <row r="574809" spans="31:32" x14ac:dyDescent="0.25">
      <c r="AE574809" s="34"/>
      <c r="AF574809" s="34"/>
    </row>
    <row r="574817" spans="31:32" x14ac:dyDescent="0.25">
      <c r="AE574817" s="36"/>
      <c r="AF574817" s="36"/>
    </row>
    <row r="574913" spans="31:32" x14ac:dyDescent="0.25">
      <c r="AE574913" s="34"/>
      <c r="AF574913" s="34"/>
    </row>
    <row r="574921" spans="31:32" x14ac:dyDescent="0.25">
      <c r="AE574921" s="36"/>
      <c r="AF574921" s="36"/>
    </row>
    <row r="575017" spans="31:32" x14ac:dyDescent="0.25">
      <c r="AE575017" s="34"/>
      <c r="AF575017" s="34"/>
    </row>
    <row r="575025" spans="31:32" x14ac:dyDescent="0.25">
      <c r="AE575025" s="36"/>
      <c r="AF575025" s="36"/>
    </row>
    <row r="575121" spans="31:32" x14ac:dyDescent="0.25">
      <c r="AE575121" s="34"/>
      <c r="AF575121" s="34"/>
    </row>
    <row r="575129" spans="31:32" x14ac:dyDescent="0.25">
      <c r="AE575129" s="36"/>
      <c r="AF575129" s="36"/>
    </row>
    <row r="575225" spans="31:32" x14ac:dyDescent="0.25">
      <c r="AE575225" s="34"/>
      <c r="AF575225" s="34"/>
    </row>
    <row r="575233" spans="31:32" x14ac:dyDescent="0.25">
      <c r="AE575233" s="36"/>
      <c r="AF575233" s="36"/>
    </row>
    <row r="575329" spans="31:32" x14ac:dyDescent="0.25">
      <c r="AE575329" s="34"/>
      <c r="AF575329" s="34"/>
    </row>
    <row r="575337" spans="31:32" x14ac:dyDescent="0.25">
      <c r="AE575337" s="36"/>
      <c r="AF575337" s="36"/>
    </row>
    <row r="575433" spans="31:32" x14ac:dyDescent="0.25">
      <c r="AE575433" s="34"/>
      <c r="AF575433" s="34"/>
    </row>
    <row r="575441" spans="31:32" x14ac:dyDescent="0.25">
      <c r="AE575441" s="36"/>
      <c r="AF575441" s="36"/>
    </row>
    <row r="575537" spans="31:32" x14ac:dyDescent="0.25">
      <c r="AE575537" s="34"/>
      <c r="AF575537" s="34"/>
    </row>
    <row r="575545" spans="31:32" x14ac:dyDescent="0.25">
      <c r="AE575545" s="36"/>
      <c r="AF575545" s="36"/>
    </row>
    <row r="575641" spans="31:32" x14ac:dyDescent="0.25">
      <c r="AE575641" s="34"/>
      <c r="AF575641" s="34"/>
    </row>
    <row r="575649" spans="31:32" x14ac:dyDescent="0.25">
      <c r="AE575649" s="36"/>
      <c r="AF575649" s="36"/>
    </row>
    <row r="575745" spans="31:32" x14ac:dyDescent="0.25">
      <c r="AE575745" s="34"/>
      <c r="AF575745" s="34"/>
    </row>
    <row r="575753" spans="31:32" x14ac:dyDescent="0.25">
      <c r="AE575753" s="36"/>
      <c r="AF575753" s="36"/>
    </row>
    <row r="575849" spans="31:32" x14ac:dyDescent="0.25">
      <c r="AE575849" s="34"/>
      <c r="AF575849" s="34"/>
    </row>
    <row r="575857" spans="31:32" x14ac:dyDescent="0.25">
      <c r="AE575857" s="36"/>
      <c r="AF575857" s="36"/>
    </row>
    <row r="575953" spans="31:32" x14ac:dyDescent="0.25">
      <c r="AE575953" s="34"/>
      <c r="AF575953" s="34"/>
    </row>
    <row r="575961" spans="31:32" x14ac:dyDescent="0.25">
      <c r="AE575961" s="36"/>
      <c r="AF575961" s="36"/>
    </row>
    <row r="576057" spans="31:32" x14ac:dyDescent="0.25">
      <c r="AE576057" s="34"/>
      <c r="AF576057" s="34"/>
    </row>
    <row r="576065" spans="31:32" x14ac:dyDescent="0.25">
      <c r="AE576065" s="36"/>
      <c r="AF576065" s="36"/>
    </row>
    <row r="576161" spans="31:32" x14ac:dyDescent="0.25">
      <c r="AE576161" s="34"/>
      <c r="AF576161" s="34"/>
    </row>
    <row r="576169" spans="31:32" x14ac:dyDescent="0.25">
      <c r="AE576169" s="36"/>
      <c r="AF576169" s="36"/>
    </row>
    <row r="576265" spans="31:32" x14ac:dyDescent="0.25">
      <c r="AE576265" s="34"/>
      <c r="AF576265" s="34"/>
    </row>
    <row r="576273" spans="31:32" x14ac:dyDescent="0.25">
      <c r="AE576273" s="36"/>
      <c r="AF576273" s="36"/>
    </row>
    <row r="576369" spans="31:32" x14ac:dyDescent="0.25">
      <c r="AE576369" s="34"/>
      <c r="AF576369" s="34"/>
    </row>
    <row r="576377" spans="31:32" x14ac:dyDescent="0.25">
      <c r="AE576377" s="36"/>
      <c r="AF576377" s="36"/>
    </row>
    <row r="576473" spans="31:32" x14ac:dyDescent="0.25">
      <c r="AE576473" s="34"/>
      <c r="AF576473" s="34"/>
    </row>
    <row r="576481" spans="31:32" x14ac:dyDescent="0.25">
      <c r="AE576481" s="36"/>
      <c r="AF576481" s="36"/>
    </row>
    <row r="576577" spans="31:32" x14ac:dyDescent="0.25">
      <c r="AE576577" s="34"/>
      <c r="AF576577" s="34"/>
    </row>
    <row r="576585" spans="31:32" x14ac:dyDescent="0.25">
      <c r="AE576585" s="36"/>
      <c r="AF576585" s="36"/>
    </row>
    <row r="576681" spans="31:32" x14ac:dyDescent="0.25">
      <c r="AE576681" s="34"/>
      <c r="AF576681" s="34"/>
    </row>
    <row r="576689" spans="31:32" x14ac:dyDescent="0.25">
      <c r="AE576689" s="36"/>
      <c r="AF576689" s="36"/>
    </row>
    <row r="576785" spans="31:32" x14ac:dyDescent="0.25">
      <c r="AE576785" s="34"/>
      <c r="AF576785" s="34"/>
    </row>
    <row r="576793" spans="31:32" x14ac:dyDescent="0.25">
      <c r="AE576793" s="36"/>
      <c r="AF576793" s="36"/>
    </row>
    <row r="576889" spans="31:32" x14ac:dyDescent="0.25">
      <c r="AE576889" s="34"/>
      <c r="AF576889" s="34"/>
    </row>
    <row r="576897" spans="31:32" x14ac:dyDescent="0.25">
      <c r="AE576897" s="36"/>
      <c r="AF576897" s="36"/>
    </row>
    <row r="576993" spans="31:32" x14ac:dyDescent="0.25">
      <c r="AE576993" s="34"/>
      <c r="AF576993" s="34"/>
    </row>
    <row r="577001" spans="31:32" x14ac:dyDescent="0.25">
      <c r="AE577001" s="36"/>
      <c r="AF577001" s="36"/>
    </row>
    <row r="577097" spans="31:32" x14ac:dyDescent="0.25">
      <c r="AE577097" s="34"/>
      <c r="AF577097" s="34"/>
    </row>
    <row r="577105" spans="31:32" x14ac:dyDescent="0.25">
      <c r="AE577105" s="36"/>
      <c r="AF577105" s="36"/>
    </row>
    <row r="577201" spans="31:32" x14ac:dyDescent="0.25">
      <c r="AE577201" s="34"/>
      <c r="AF577201" s="34"/>
    </row>
    <row r="577209" spans="31:32" x14ac:dyDescent="0.25">
      <c r="AE577209" s="36"/>
      <c r="AF577209" s="36"/>
    </row>
    <row r="577305" spans="31:32" x14ac:dyDescent="0.25">
      <c r="AE577305" s="34"/>
      <c r="AF577305" s="34"/>
    </row>
    <row r="577313" spans="31:32" x14ac:dyDescent="0.25">
      <c r="AE577313" s="36"/>
      <c r="AF577313" s="36"/>
    </row>
    <row r="577409" spans="31:32" x14ac:dyDescent="0.25">
      <c r="AE577409" s="34"/>
      <c r="AF577409" s="34"/>
    </row>
    <row r="577417" spans="31:32" x14ac:dyDescent="0.25">
      <c r="AE577417" s="36"/>
      <c r="AF577417" s="36"/>
    </row>
    <row r="577513" spans="31:32" x14ac:dyDescent="0.25">
      <c r="AE577513" s="34"/>
      <c r="AF577513" s="34"/>
    </row>
    <row r="577521" spans="31:32" x14ac:dyDescent="0.25">
      <c r="AE577521" s="36"/>
      <c r="AF577521" s="36"/>
    </row>
    <row r="577617" spans="31:32" x14ac:dyDescent="0.25">
      <c r="AE577617" s="34"/>
      <c r="AF577617" s="34"/>
    </row>
    <row r="577625" spans="31:32" x14ac:dyDescent="0.25">
      <c r="AE577625" s="36"/>
      <c r="AF577625" s="36"/>
    </row>
    <row r="577721" spans="31:32" x14ac:dyDescent="0.25">
      <c r="AE577721" s="34"/>
      <c r="AF577721" s="34"/>
    </row>
    <row r="577729" spans="31:32" x14ac:dyDescent="0.25">
      <c r="AE577729" s="36"/>
      <c r="AF577729" s="36"/>
    </row>
    <row r="577825" spans="31:32" x14ac:dyDescent="0.25">
      <c r="AE577825" s="34"/>
      <c r="AF577825" s="34"/>
    </row>
    <row r="577833" spans="31:32" x14ac:dyDescent="0.25">
      <c r="AE577833" s="36"/>
      <c r="AF577833" s="36"/>
    </row>
    <row r="577929" spans="31:32" x14ac:dyDescent="0.25">
      <c r="AE577929" s="34"/>
      <c r="AF577929" s="34"/>
    </row>
    <row r="577937" spans="31:32" x14ac:dyDescent="0.25">
      <c r="AE577937" s="36"/>
      <c r="AF577937" s="36"/>
    </row>
    <row r="578033" spans="31:32" x14ac:dyDescent="0.25">
      <c r="AE578033" s="34"/>
      <c r="AF578033" s="34"/>
    </row>
    <row r="578041" spans="31:32" x14ac:dyDescent="0.25">
      <c r="AE578041" s="36"/>
      <c r="AF578041" s="36"/>
    </row>
    <row r="578137" spans="31:32" x14ac:dyDescent="0.25">
      <c r="AE578137" s="34"/>
      <c r="AF578137" s="34"/>
    </row>
    <row r="578145" spans="31:32" x14ac:dyDescent="0.25">
      <c r="AE578145" s="36"/>
      <c r="AF578145" s="36"/>
    </row>
    <row r="578241" spans="31:32" x14ac:dyDescent="0.25">
      <c r="AE578241" s="34"/>
      <c r="AF578241" s="34"/>
    </row>
    <row r="578249" spans="31:32" x14ac:dyDescent="0.25">
      <c r="AE578249" s="36"/>
      <c r="AF578249" s="36"/>
    </row>
    <row r="578345" spans="31:32" x14ac:dyDescent="0.25">
      <c r="AE578345" s="34"/>
      <c r="AF578345" s="34"/>
    </row>
    <row r="578353" spans="31:32" x14ac:dyDescent="0.25">
      <c r="AE578353" s="36"/>
      <c r="AF578353" s="36"/>
    </row>
    <row r="578449" spans="31:32" x14ac:dyDescent="0.25">
      <c r="AE578449" s="34"/>
      <c r="AF578449" s="34"/>
    </row>
    <row r="578457" spans="31:32" x14ac:dyDescent="0.25">
      <c r="AE578457" s="36"/>
      <c r="AF578457" s="36"/>
    </row>
    <row r="578553" spans="31:32" x14ac:dyDescent="0.25">
      <c r="AE578553" s="34"/>
      <c r="AF578553" s="34"/>
    </row>
    <row r="578561" spans="31:32" x14ac:dyDescent="0.25">
      <c r="AE578561" s="36"/>
      <c r="AF578561" s="36"/>
    </row>
    <row r="578657" spans="31:32" x14ac:dyDescent="0.25">
      <c r="AE578657" s="34"/>
      <c r="AF578657" s="34"/>
    </row>
    <row r="578665" spans="31:32" x14ac:dyDescent="0.25">
      <c r="AE578665" s="36"/>
      <c r="AF578665" s="36"/>
    </row>
    <row r="578761" spans="31:32" x14ac:dyDescent="0.25">
      <c r="AE578761" s="34"/>
      <c r="AF578761" s="34"/>
    </row>
    <row r="578769" spans="31:32" x14ac:dyDescent="0.25">
      <c r="AE578769" s="36"/>
      <c r="AF578769" s="36"/>
    </row>
    <row r="578865" spans="31:32" x14ac:dyDescent="0.25">
      <c r="AE578865" s="34"/>
      <c r="AF578865" s="34"/>
    </row>
    <row r="578873" spans="31:32" x14ac:dyDescent="0.25">
      <c r="AE578873" s="36"/>
      <c r="AF578873" s="36"/>
    </row>
    <row r="578969" spans="31:32" x14ac:dyDescent="0.25">
      <c r="AE578969" s="34"/>
      <c r="AF578969" s="34"/>
    </row>
    <row r="578977" spans="31:32" x14ac:dyDescent="0.25">
      <c r="AE578977" s="36"/>
      <c r="AF578977" s="36"/>
    </row>
    <row r="579073" spans="31:32" x14ac:dyDescent="0.25">
      <c r="AE579073" s="34"/>
      <c r="AF579073" s="34"/>
    </row>
    <row r="579081" spans="31:32" x14ac:dyDescent="0.25">
      <c r="AE579081" s="36"/>
      <c r="AF579081" s="36"/>
    </row>
    <row r="579177" spans="31:32" x14ac:dyDescent="0.25">
      <c r="AE579177" s="34"/>
      <c r="AF579177" s="34"/>
    </row>
    <row r="579185" spans="31:32" x14ac:dyDescent="0.25">
      <c r="AE579185" s="36"/>
      <c r="AF579185" s="36"/>
    </row>
    <row r="579281" spans="31:32" x14ac:dyDescent="0.25">
      <c r="AE579281" s="34"/>
      <c r="AF579281" s="34"/>
    </row>
    <row r="579289" spans="31:32" x14ac:dyDescent="0.25">
      <c r="AE579289" s="36"/>
      <c r="AF579289" s="36"/>
    </row>
    <row r="579385" spans="31:32" x14ac:dyDescent="0.25">
      <c r="AE579385" s="34"/>
      <c r="AF579385" s="34"/>
    </row>
    <row r="579393" spans="31:32" x14ac:dyDescent="0.25">
      <c r="AE579393" s="36"/>
      <c r="AF579393" s="36"/>
    </row>
    <row r="579489" spans="31:32" x14ac:dyDescent="0.25">
      <c r="AE579489" s="34"/>
      <c r="AF579489" s="34"/>
    </row>
    <row r="579497" spans="31:32" x14ac:dyDescent="0.25">
      <c r="AE579497" s="36"/>
      <c r="AF579497" s="36"/>
    </row>
    <row r="579593" spans="31:32" x14ac:dyDescent="0.25">
      <c r="AE579593" s="34"/>
      <c r="AF579593" s="34"/>
    </row>
    <row r="579601" spans="31:32" x14ac:dyDescent="0.25">
      <c r="AE579601" s="36"/>
      <c r="AF579601" s="36"/>
    </row>
    <row r="579697" spans="31:32" x14ac:dyDescent="0.25">
      <c r="AE579697" s="34"/>
      <c r="AF579697" s="34"/>
    </row>
    <row r="579705" spans="31:32" x14ac:dyDescent="0.25">
      <c r="AE579705" s="36"/>
      <c r="AF579705" s="36"/>
    </row>
    <row r="579801" spans="31:32" x14ac:dyDescent="0.25">
      <c r="AE579801" s="34"/>
      <c r="AF579801" s="34"/>
    </row>
    <row r="579809" spans="31:32" x14ac:dyDescent="0.25">
      <c r="AE579809" s="36"/>
      <c r="AF579809" s="36"/>
    </row>
    <row r="579905" spans="31:32" x14ac:dyDescent="0.25">
      <c r="AE579905" s="34"/>
      <c r="AF579905" s="34"/>
    </row>
    <row r="579913" spans="31:32" x14ac:dyDescent="0.25">
      <c r="AE579913" s="36"/>
      <c r="AF579913" s="36"/>
    </row>
    <row r="580009" spans="31:32" x14ac:dyDescent="0.25">
      <c r="AE580009" s="34"/>
      <c r="AF580009" s="34"/>
    </row>
    <row r="580017" spans="31:32" x14ac:dyDescent="0.25">
      <c r="AE580017" s="36"/>
      <c r="AF580017" s="36"/>
    </row>
    <row r="580113" spans="31:32" x14ac:dyDescent="0.25">
      <c r="AE580113" s="34"/>
      <c r="AF580113" s="34"/>
    </row>
    <row r="580121" spans="31:32" x14ac:dyDescent="0.25">
      <c r="AE580121" s="36"/>
      <c r="AF580121" s="36"/>
    </row>
    <row r="580217" spans="31:32" x14ac:dyDescent="0.25">
      <c r="AE580217" s="34"/>
      <c r="AF580217" s="34"/>
    </row>
    <row r="580225" spans="31:32" x14ac:dyDescent="0.25">
      <c r="AE580225" s="36"/>
      <c r="AF580225" s="36"/>
    </row>
    <row r="580321" spans="31:32" x14ac:dyDescent="0.25">
      <c r="AE580321" s="34"/>
      <c r="AF580321" s="34"/>
    </row>
    <row r="580329" spans="31:32" x14ac:dyDescent="0.25">
      <c r="AE580329" s="36"/>
      <c r="AF580329" s="36"/>
    </row>
    <row r="580425" spans="31:32" x14ac:dyDescent="0.25">
      <c r="AE580425" s="34"/>
      <c r="AF580425" s="34"/>
    </row>
    <row r="580433" spans="31:32" x14ac:dyDescent="0.25">
      <c r="AE580433" s="36"/>
      <c r="AF580433" s="36"/>
    </row>
    <row r="580529" spans="31:32" x14ac:dyDescent="0.25">
      <c r="AE580529" s="34"/>
      <c r="AF580529" s="34"/>
    </row>
    <row r="580537" spans="31:32" x14ac:dyDescent="0.25">
      <c r="AE580537" s="36"/>
      <c r="AF580537" s="36"/>
    </row>
    <row r="580633" spans="31:32" x14ac:dyDescent="0.25">
      <c r="AE580633" s="34"/>
      <c r="AF580633" s="34"/>
    </row>
    <row r="580641" spans="31:32" x14ac:dyDescent="0.25">
      <c r="AE580641" s="36"/>
      <c r="AF580641" s="36"/>
    </row>
    <row r="580737" spans="31:32" x14ac:dyDescent="0.25">
      <c r="AE580737" s="34"/>
      <c r="AF580737" s="34"/>
    </row>
    <row r="580745" spans="31:32" x14ac:dyDescent="0.25">
      <c r="AE580745" s="36"/>
      <c r="AF580745" s="36"/>
    </row>
    <row r="580841" spans="31:32" x14ac:dyDescent="0.25">
      <c r="AE580841" s="34"/>
      <c r="AF580841" s="34"/>
    </row>
    <row r="580849" spans="31:32" x14ac:dyDescent="0.25">
      <c r="AE580849" s="36"/>
      <c r="AF580849" s="36"/>
    </row>
    <row r="580945" spans="31:32" x14ac:dyDescent="0.25">
      <c r="AE580945" s="34"/>
      <c r="AF580945" s="34"/>
    </row>
    <row r="580953" spans="31:32" x14ac:dyDescent="0.25">
      <c r="AE580953" s="36"/>
      <c r="AF580953" s="36"/>
    </row>
    <row r="581049" spans="31:32" x14ac:dyDescent="0.25">
      <c r="AE581049" s="34"/>
      <c r="AF581049" s="34"/>
    </row>
    <row r="581057" spans="31:32" x14ac:dyDescent="0.25">
      <c r="AE581057" s="36"/>
      <c r="AF581057" s="36"/>
    </row>
    <row r="581153" spans="31:32" x14ac:dyDescent="0.25">
      <c r="AE581153" s="34"/>
      <c r="AF581153" s="34"/>
    </row>
    <row r="581161" spans="31:32" x14ac:dyDescent="0.25">
      <c r="AE581161" s="36"/>
      <c r="AF581161" s="36"/>
    </row>
    <row r="581257" spans="31:32" x14ac:dyDescent="0.25">
      <c r="AE581257" s="34"/>
      <c r="AF581257" s="34"/>
    </row>
    <row r="581265" spans="31:32" x14ac:dyDescent="0.25">
      <c r="AE581265" s="36"/>
      <c r="AF581265" s="36"/>
    </row>
    <row r="581361" spans="31:32" x14ac:dyDescent="0.25">
      <c r="AE581361" s="34"/>
      <c r="AF581361" s="34"/>
    </row>
    <row r="581369" spans="31:32" x14ac:dyDescent="0.25">
      <c r="AE581369" s="36"/>
      <c r="AF581369" s="36"/>
    </row>
    <row r="581465" spans="31:32" x14ac:dyDescent="0.25">
      <c r="AE581465" s="34"/>
      <c r="AF581465" s="34"/>
    </row>
    <row r="581473" spans="31:32" x14ac:dyDescent="0.25">
      <c r="AE581473" s="36"/>
      <c r="AF581473" s="36"/>
    </row>
    <row r="581569" spans="31:32" x14ac:dyDescent="0.25">
      <c r="AE581569" s="34"/>
      <c r="AF581569" s="34"/>
    </row>
    <row r="581577" spans="31:32" x14ac:dyDescent="0.25">
      <c r="AE581577" s="36"/>
      <c r="AF581577" s="36"/>
    </row>
    <row r="581673" spans="31:32" x14ac:dyDescent="0.25">
      <c r="AE581673" s="34"/>
      <c r="AF581673" s="34"/>
    </row>
    <row r="581681" spans="31:32" x14ac:dyDescent="0.25">
      <c r="AE581681" s="36"/>
      <c r="AF581681" s="36"/>
    </row>
    <row r="581777" spans="31:32" x14ac:dyDescent="0.25">
      <c r="AE581777" s="34"/>
      <c r="AF581777" s="34"/>
    </row>
    <row r="581785" spans="31:32" x14ac:dyDescent="0.25">
      <c r="AE581785" s="36"/>
      <c r="AF581785" s="36"/>
    </row>
    <row r="581881" spans="31:32" x14ac:dyDescent="0.25">
      <c r="AE581881" s="34"/>
      <c r="AF581881" s="34"/>
    </row>
    <row r="581889" spans="31:32" x14ac:dyDescent="0.25">
      <c r="AE581889" s="36"/>
      <c r="AF581889" s="36"/>
    </row>
    <row r="581985" spans="31:32" x14ac:dyDescent="0.25">
      <c r="AE581985" s="34"/>
      <c r="AF581985" s="34"/>
    </row>
    <row r="581993" spans="31:32" x14ac:dyDescent="0.25">
      <c r="AE581993" s="36"/>
      <c r="AF581993" s="36"/>
    </row>
    <row r="582089" spans="31:32" x14ac:dyDescent="0.25">
      <c r="AE582089" s="34"/>
      <c r="AF582089" s="34"/>
    </row>
    <row r="582097" spans="31:32" x14ac:dyDescent="0.25">
      <c r="AE582097" s="36"/>
      <c r="AF582097" s="36"/>
    </row>
    <row r="582193" spans="31:32" x14ac:dyDescent="0.25">
      <c r="AE582193" s="34"/>
      <c r="AF582193" s="34"/>
    </row>
    <row r="582201" spans="31:32" x14ac:dyDescent="0.25">
      <c r="AE582201" s="36"/>
      <c r="AF582201" s="36"/>
    </row>
    <row r="582297" spans="31:32" x14ac:dyDescent="0.25">
      <c r="AE582297" s="34"/>
      <c r="AF582297" s="34"/>
    </row>
    <row r="582305" spans="31:32" x14ac:dyDescent="0.25">
      <c r="AE582305" s="36"/>
      <c r="AF582305" s="36"/>
    </row>
    <row r="582401" spans="31:32" x14ac:dyDescent="0.25">
      <c r="AE582401" s="34"/>
      <c r="AF582401" s="34"/>
    </row>
    <row r="582409" spans="31:32" x14ac:dyDescent="0.25">
      <c r="AE582409" s="36"/>
      <c r="AF582409" s="36"/>
    </row>
    <row r="582505" spans="31:32" x14ac:dyDescent="0.25">
      <c r="AE582505" s="34"/>
      <c r="AF582505" s="34"/>
    </row>
    <row r="582513" spans="31:32" x14ac:dyDescent="0.25">
      <c r="AE582513" s="36"/>
      <c r="AF582513" s="36"/>
    </row>
    <row r="582609" spans="31:32" x14ac:dyDescent="0.25">
      <c r="AE582609" s="34"/>
      <c r="AF582609" s="34"/>
    </row>
    <row r="582617" spans="31:32" x14ac:dyDescent="0.25">
      <c r="AE582617" s="36"/>
      <c r="AF582617" s="36"/>
    </row>
    <row r="582713" spans="31:32" x14ac:dyDescent="0.25">
      <c r="AE582713" s="34"/>
      <c r="AF582713" s="34"/>
    </row>
    <row r="582721" spans="31:32" x14ac:dyDescent="0.25">
      <c r="AE582721" s="36"/>
      <c r="AF582721" s="36"/>
    </row>
    <row r="582817" spans="31:32" x14ac:dyDescent="0.25">
      <c r="AE582817" s="34"/>
      <c r="AF582817" s="34"/>
    </row>
    <row r="582825" spans="31:32" x14ac:dyDescent="0.25">
      <c r="AE582825" s="36"/>
      <c r="AF582825" s="36"/>
    </row>
    <row r="582921" spans="31:32" x14ac:dyDescent="0.25">
      <c r="AE582921" s="34"/>
      <c r="AF582921" s="34"/>
    </row>
    <row r="582929" spans="31:32" x14ac:dyDescent="0.25">
      <c r="AE582929" s="36"/>
      <c r="AF582929" s="36"/>
    </row>
    <row r="583025" spans="31:32" x14ac:dyDescent="0.25">
      <c r="AE583025" s="34"/>
      <c r="AF583025" s="34"/>
    </row>
    <row r="583033" spans="31:32" x14ac:dyDescent="0.25">
      <c r="AE583033" s="36"/>
      <c r="AF583033" s="36"/>
    </row>
    <row r="583129" spans="31:32" x14ac:dyDescent="0.25">
      <c r="AE583129" s="34"/>
      <c r="AF583129" s="34"/>
    </row>
    <row r="583137" spans="31:32" x14ac:dyDescent="0.25">
      <c r="AE583137" s="36"/>
      <c r="AF583137" s="36"/>
    </row>
    <row r="583233" spans="31:32" x14ac:dyDescent="0.25">
      <c r="AE583233" s="34"/>
      <c r="AF583233" s="34"/>
    </row>
    <row r="583241" spans="31:32" x14ac:dyDescent="0.25">
      <c r="AE583241" s="36"/>
      <c r="AF583241" s="36"/>
    </row>
    <row r="583337" spans="31:32" x14ac:dyDescent="0.25">
      <c r="AE583337" s="34"/>
      <c r="AF583337" s="34"/>
    </row>
    <row r="583345" spans="31:32" x14ac:dyDescent="0.25">
      <c r="AE583345" s="36"/>
      <c r="AF583345" s="36"/>
    </row>
    <row r="583441" spans="31:32" x14ac:dyDescent="0.25">
      <c r="AE583441" s="34"/>
      <c r="AF583441" s="34"/>
    </row>
    <row r="583449" spans="31:32" x14ac:dyDescent="0.25">
      <c r="AE583449" s="36"/>
      <c r="AF583449" s="36"/>
    </row>
    <row r="583545" spans="31:32" x14ac:dyDescent="0.25">
      <c r="AE583545" s="34"/>
      <c r="AF583545" s="34"/>
    </row>
    <row r="583553" spans="31:32" x14ac:dyDescent="0.25">
      <c r="AE583553" s="36"/>
      <c r="AF583553" s="36"/>
    </row>
    <row r="583649" spans="31:32" x14ac:dyDescent="0.25">
      <c r="AE583649" s="34"/>
      <c r="AF583649" s="34"/>
    </row>
    <row r="583657" spans="31:32" x14ac:dyDescent="0.25">
      <c r="AE583657" s="36"/>
      <c r="AF583657" s="36"/>
    </row>
    <row r="583753" spans="31:32" x14ac:dyDescent="0.25">
      <c r="AE583753" s="34"/>
      <c r="AF583753" s="34"/>
    </row>
    <row r="583761" spans="31:32" x14ac:dyDescent="0.25">
      <c r="AE583761" s="36"/>
      <c r="AF583761" s="36"/>
    </row>
    <row r="583857" spans="31:32" x14ac:dyDescent="0.25">
      <c r="AE583857" s="34"/>
      <c r="AF583857" s="34"/>
    </row>
    <row r="583865" spans="31:32" x14ac:dyDescent="0.25">
      <c r="AE583865" s="36"/>
      <c r="AF583865" s="36"/>
    </row>
    <row r="583961" spans="31:32" x14ac:dyDescent="0.25">
      <c r="AE583961" s="34"/>
      <c r="AF583961" s="34"/>
    </row>
    <row r="583969" spans="31:32" x14ac:dyDescent="0.25">
      <c r="AE583969" s="36"/>
      <c r="AF583969" s="36"/>
    </row>
    <row r="584065" spans="31:32" x14ac:dyDescent="0.25">
      <c r="AE584065" s="34"/>
      <c r="AF584065" s="34"/>
    </row>
    <row r="584073" spans="31:32" x14ac:dyDescent="0.25">
      <c r="AE584073" s="36"/>
      <c r="AF584073" s="36"/>
    </row>
    <row r="584169" spans="31:32" x14ac:dyDescent="0.25">
      <c r="AE584169" s="34"/>
      <c r="AF584169" s="34"/>
    </row>
    <row r="584177" spans="31:32" x14ac:dyDescent="0.25">
      <c r="AE584177" s="36"/>
      <c r="AF584177" s="36"/>
    </row>
    <row r="584273" spans="31:32" x14ac:dyDescent="0.25">
      <c r="AE584273" s="34"/>
      <c r="AF584273" s="34"/>
    </row>
    <row r="584281" spans="31:32" x14ac:dyDescent="0.25">
      <c r="AE584281" s="36"/>
      <c r="AF584281" s="36"/>
    </row>
    <row r="584377" spans="31:32" x14ac:dyDescent="0.25">
      <c r="AE584377" s="34"/>
      <c r="AF584377" s="34"/>
    </row>
    <row r="584385" spans="31:32" x14ac:dyDescent="0.25">
      <c r="AE584385" s="36"/>
      <c r="AF584385" s="36"/>
    </row>
    <row r="584481" spans="31:32" x14ac:dyDescent="0.25">
      <c r="AE584481" s="34"/>
      <c r="AF584481" s="34"/>
    </row>
    <row r="584489" spans="31:32" x14ac:dyDescent="0.25">
      <c r="AE584489" s="36"/>
      <c r="AF584489" s="36"/>
    </row>
    <row r="584585" spans="31:32" x14ac:dyDescent="0.25">
      <c r="AE584585" s="34"/>
      <c r="AF584585" s="34"/>
    </row>
    <row r="584593" spans="31:32" x14ac:dyDescent="0.25">
      <c r="AE584593" s="36"/>
      <c r="AF584593" s="36"/>
    </row>
    <row r="584689" spans="31:32" x14ac:dyDescent="0.25">
      <c r="AE584689" s="34"/>
      <c r="AF584689" s="34"/>
    </row>
    <row r="584697" spans="31:32" x14ac:dyDescent="0.25">
      <c r="AE584697" s="36"/>
      <c r="AF584697" s="36"/>
    </row>
    <row r="584793" spans="31:32" x14ac:dyDescent="0.25">
      <c r="AE584793" s="34"/>
      <c r="AF584793" s="34"/>
    </row>
    <row r="584801" spans="31:32" x14ac:dyDescent="0.25">
      <c r="AE584801" s="36"/>
      <c r="AF584801" s="36"/>
    </row>
    <row r="584897" spans="31:32" x14ac:dyDescent="0.25">
      <c r="AE584897" s="34"/>
      <c r="AF584897" s="34"/>
    </row>
    <row r="584905" spans="31:32" x14ac:dyDescent="0.25">
      <c r="AE584905" s="36"/>
      <c r="AF584905" s="36"/>
    </row>
    <row r="585001" spans="31:32" x14ac:dyDescent="0.25">
      <c r="AE585001" s="34"/>
      <c r="AF585001" s="34"/>
    </row>
    <row r="585009" spans="31:32" x14ac:dyDescent="0.25">
      <c r="AE585009" s="36"/>
      <c r="AF585009" s="36"/>
    </row>
    <row r="585105" spans="31:32" x14ac:dyDescent="0.25">
      <c r="AE585105" s="34"/>
      <c r="AF585105" s="34"/>
    </row>
    <row r="585113" spans="31:32" x14ac:dyDescent="0.25">
      <c r="AE585113" s="36"/>
      <c r="AF585113" s="36"/>
    </row>
    <row r="585209" spans="31:32" x14ac:dyDescent="0.25">
      <c r="AE585209" s="34"/>
      <c r="AF585209" s="34"/>
    </row>
    <row r="585217" spans="31:32" x14ac:dyDescent="0.25">
      <c r="AE585217" s="36"/>
      <c r="AF585217" s="36"/>
    </row>
    <row r="585313" spans="31:32" x14ac:dyDescent="0.25">
      <c r="AE585313" s="34"/>
      <c r="AF585313" s="34"/>
    </row>
    <row r="585321" spans="31:32" x14ac:dyDescent="0.25">
      <c r="AE585321" s="36"/>
      <c r="AF585321" s="36"/>
    </row>
    <row r="585417" spans="31:32" x14ac:dyDescent="0.25">
      <c r="AE585417" s="34"/>
      <c r="AF585417" s="34"/>
    </row>
    <row r="585425" spans="31:32" x14ac:dyDescent="0.25">
      <c r="AE585425" s="36"/>
      <c r="AF585425" s="36"/>
    </row>
    <row r="585521" spans="31:32" x14ac:dyDescent="0.25">
      <c r="AE585521" s="34"/>
      <c r="AF585521" s="34"/>
    </row>
    <row r="585529" spans="31:32" x14ac:dyDescent="0.25">
      <c r="AE585529" s="36"/>
      <c r="AF585529" s="36"/>
    </row>
    <row r="585625" spans="31:32" x14ac:dyDescent="0.25">
      <c r="AE585625" s="34"/>
      <c r="AF585625" s="34"/>
    </row>
    <row r="585633" spans="31:32" x14ac:dyDescent="0.25">
      <c r="AE585633" s="36"/>
      <c r="AF585633" s="36"/>
    </row>
    <row r="585729" spans="31:32" x14ac:dyDescent="0.25">
      <c r="AE585729" s="34"/>
      <c r="AF585729" s="34"/>
    </row>
    <row r="585737" spans="31:32" x14ac:dyDescent="0.25">
      <c r="AE585737" s="36"/>
      <c r="AF585737" s="36"/>
    </row>
    <row r="585833" spans="31:32" x14ac:dyDescent="0.25">
      <c r="AE585833" s="34"/>
      <c r="AF585833" s="34"/>
    </row>
    <row r="585841" spans="31:32" x14ac:dyDescent="0.25">
      <c r="AE585841" s="36"/>
      <c r="AF585841" s="36"/>
    </row>
    <row r="585937" spans="31:32" x14ac:dyDescent="0.25">
      <c r="AE585937" s="34"/>
      <c r="AF585937" s="34"/>
    </row>
    <row r="585945" spans="31:32" x14ac:dyDescent="0.25">
      <c r="AE585945" s="36"/>
      <c r="AF585945" s="36"/>
    </row>
    <row r="586041" spans="31:32" x14ac:dyDescent="0.25">
      <c r="AE586041" s="34"/>
      <c r="AF586041" s="34"/>
    </row>
    <row r="586049" spans="31:32" x14ac:dyDescent="0.25">
      <c r="AE586049" s="36"/>
      <c r="AF586049" s="36"/>
    </row>
    <row r="586145" spans="31:32" x14ac:dyDescent="0.25">
      <c r="AE586145" s="34"/>
      <c r="AF586145" s="34"/>
    </row>
    <row r="586153" spans="31:32" x14ac:dyDescent="0.25">
      <c r="AE586153" s="36"/>
      <c r="AF586153" s="36"/>
    </row>
    <row r="586249" spans="31:32" x14ac:dyDescent="0.25">
      <c r="AE586249" s="34"/>
      <c r="AF586249" s="34"/>
    </row>
    <row r="586257" spans="31:32" x14ac:dyDescent="0.25">
      <c r="AE586257" s="36"/>
      <c r="AF586257" s="36"/>
    </row>
    <row r="586353" spans="31:32" x14ac:dyDescent="0.25">
      <c r="AE586353" s="34"/>
      <c r="AF586353" s="34"/>
    </row>
    <row r="586361" spans="31:32" x14ac:dyDescent="0.25">
      <c r="AE586361" s="36"/>
      <c r="AF586361" s="36"/>
    </row>
    <row r="586457" spans="31:32" x14ac:dyDescent="0.25">
      <c r="AE586457" s="34"/>
      <c r="AF586457" s="34"/>
    </row>
    <row r="586465" spans="31:32" x14ac:dyDescent="0.25">
      <c r="AE586465" s="36"/>
      <c r="AF586465" s="36"/>
    </row>
    <row r="586561" spans="31:32" x14ac:dyDescent="0.25">
      <c r="AE586561" s="34"/>
      <c r="AF586561" s="34"/>
    </row>
    <row r="586569" spans="31:32" x14ac:dyDescent="0.25">
      <c r="AE586569" s="36"/>
      <c r="AF586569" s="36"/>
    </row>
    <row r="586665" spans="31:32" x14ac:dyDescent="0.25">
      <c r="AE586665" s="34"/>
      <c r="AF586665" s="34"/>
    </row>
    <row r="586673" spans="31:32" x14ac:dyDescent="0.25">
      <c r="AE586673" s="36"/>
      <c r="AF586673" s="36"/>
    </row>
    <row r="586769" spans="31:32" x14ac:dyDescent="0.25">
      <c r="AE586769" s="34"/>
      <c r="AF586769" s="34"/>
    </row>
    <row r="586777" spans="31:32" x14ac:dyDescent="0.25">
      <c r="AE586777" s="36"/>
      <c r="AF586777" s="36"/>
    </row>
    <row r="586873" spans="31:32" x14ac:dyDescent="0.25">
      <c r="AE586873" s="34"/>
      <c r="AF586873" s="34"/>
    </row>
    <row r="586881" spans="31:32" x14ac:dyDescent="0.25">
      <c r="AE586881" s="36"/>
      <c r="AF586881" s="36"/>
    </row>
    <row r="586977" spans="31:32" x14ac:dyDescent="0.25">
      <c r="AE586977" s="34"/>
      <c r="AF586977" s="34"/>
    </row>
    <row r="586985" spans="31:32" x14ac:dyDescent="0.25">
      <c r="AE586985" s="36"/>
      <c r="AF586985" s="36"/>
    </row>
    <row r="587081" spans="31:32" x14ac:dyDescent="0.25">
      <c r="AE587081" s="34"/>
      <c r="AF587081" s="34"/>
    </row>
    <row r="587089" spans="31:32" x14ac:dyDescent="0.25">
      <c r="AE587089" s="36"/>
      <c r="AF587089" s="36"/>
    </row>
    <row r="587185" spans="31:32" x14ac:dyDescent="0.25">
      <c r="AE587185" s="34"/>
      <c r="AF587185" s="34"/>
    </row>
    <row r="587193" spans="31:32" x14ac:dyDescent="0.25">
      <c r="AE587193" s="36"/>
      <c r="AF587193" s="36"/>
    </row>
    <row r="587289" spans="31:32" x14ac:dyDescent="0.25">
      <c r="AE587289" s="34"/>
      <c r="AF587289" s="34"/>
    </row>
    <row r="587297" spans="31:32" x14ac:dyDescent="0.25">
      <c r="AE587297" s="36"/>
      <c r="AF587297" s="36"/>
    </row>
    <row r="587393" spans="31:32" x14ac:dyDescent="0.25">
      <c r="AE587393" s="34"/>
      <c r="AF587393" s="34"/>
    </row>
    <row r="587401" spans="31:32" x14ac:dyDescent="0.25">
      <c r="AE587401" s="36"/>
      <c r="AF587401" s="36"/>
    </row>
    <row r="587497" spans="31:32" x14ac:dyDescent="0.25">
      <c r="AE587497" s="34"/>
      <c r="AF587497" s="34"/>
    </row>
    <row r="587505" spans="31:32" x14ac:dyDescent="0.25">
      <c r="AE587505" s="36"/>
      <c r="AF587505" s="36"/>
    </row>
    <row r="587601" spans="31:32" x14ac:dyDescent="0.25">
      <c r="AE587601" s="34"/>
      <c r="AF587601" s="34"/>
    </row>
    <row r="587609" spans="31:32" x14ac:dyDescent="0.25">
      <c r="AE587609" s="36"/>
      <c r="AF587609" s="36"/>
    </row>
    <row r="587705" spans="31:32" x14ac:dyDescent="0.25">
      <c r="AE587705" s="34"/>
      <c r="AF587705" s="34"/>
    </row>
    <row r="587713" spans="31:32" x14ac:dyDescent="0.25">
      <c r="AE587713" s="36"/>
      <c r="AF587713" s="36"/>
    </row>
    <row r="587809" spans="31:32" x14ac:dyDescent="0.25">
      <c r="AE587809" s="34"/>
      <c r="AF587809" s="34"/>
    </row>
    <row r="587817" spans="31:32" x14ac:dyDescent="0.25">
      <c r="AE587817" s="36"/>
      <c r="AF587817" s="36"/>
    </row>
    <row r="587913" spans="31:32" x14ac:dyDescent="0.25">
      <c r="AE587913" s="34"/>
      <c r="AF587913" s="34"/>
    </row>
    <row r="587921" spans="31:32" x14ac:dyDescent="0.25">
      <c r="AE587921" s="36"/>
      <c r="AF587921" s="36"/>
    </row>
    <row r="588017" spans="31:32" x14ac:dyDescent="0.25">
      <c r="AE588017" s="34"/>
      <c r="AF588017" s="34"/>
    </row>
    <row r="588025" spans="31:32" x14ac:dyDescent="0.25">
      <c r="AE588025" s="36"/>
      <c r="AF588025" s="36"/>
    </row>
    <row r="588121" spans="31:32" x14ac:dyDescent="0.25">
      <c r="AE588121" s="34"/>
      <c r="AF588121" s="34"/>
    </row>
    <row r="588129" spans="31:32" x14ac:dyDescent="0.25">
      <c r="AE588129" s="36"/>
      <c r="AF588129" s="36"/>
    </row>
    <row r="588225" spans="31:32" x14ac:dyDescent="0.25">
      <c r="AE588225" s="34"/>
      <c r="AF588225" s="34"/>
    </row>
    <row r="588233" spans="31:32" x14ac:dyDescent="0.25">
      <c r="AE588233" s="36"/>
      <c r="AF588233" s="36"/>
    </row>
    <row r="588329" spans="31:32" x14ac:dyDescent="0.25">
      <c r="AE588329" s="34"/>
      <c r="AF588329" s="34"/>
    </row>
    <row r="588337" spans="31:32" x14ac:dyDescent="0.25">
      <c r="AE588337" s="36"/>
      <c r="AF588337" s="36"/>
    </row>
    <row r="588433" spans="31:32" x14ac:dyDescent="0.25">
      <c r="AE588433" s="34"/>
      <c r="AF588433" s="34"/>
    </row>
    <row r="588441" spans="31:32" x14ac:dyDescent="0.25">
      <c r="AE588441" s="36"/>
      <c r="AF588441" s="36"/>
    </row>
    <row r="588537" spans="31:32" x14ac:dyDescent="0.25">
      <c r="AE588537" s="34"/>
      <c r="AF588537" s="34"/>
    </row>
    <row r="588545" spans="31:32" x14ac:dyDescent="0.25">
      <c r="AE588545" s="36"/>
      <c r="AF588545" s="36"/>
    </row>
    <row r="588641" spans="31:32" x14ac:dyDescent="0.25">
      <c r="AE588641" s="34"/>
      <c r="AF588641" s="34"/>
    </row>
    <row r="588649" spans="31:32" x14ac:dyDescent="0.25">
      <c r="AE588649" s="36"/>
      <c r="AF588649" s="36"/>
    </row>
    <row r="588745" spans="31:32" x14ac:dyDescent="0.25">
      <c r="AE588745" s="34"/>
      <c r="AF588745" s="34"/>
    </row>
    <row r="588753" spans="31:32" x14ac:dyDescent="0.25">
      <c r="AE588753" s="36"/>
      <c r="AF588753" s="36"/>
    </row>
    <row r="588849" spans="31:32" x14ac:dyDescent="0.25">
      <c r="AE588849" s="34"/>
      <c r="AF588849" s="34"/>
    </row>
    <row r="588857" spans="31:32" x14ac:dyDescent="0.25">
      <c r="AE588857" s="36"/>
      <c r="AF588857" s="36"/>
    </row>
    <row r="588953" spans="31:32" x14ac:dyDescent="0.25">
      <c r="AE588953" s="34"/>
      <c r="AF588953" s="34"/>
    </row>
    <row r="588961" spans="31:32" x14ac:dyDescent="0.25">
      <c r="AE588961" s="36"/>
      <c r="AF588961" s="36"/>
    </row>
    <row r="589057" spans="31:32" x14ac:dyDescent="0.25">
      <c r="AE589057" s="34"/>
      <c r="AF589057" s="34"/>
    </row>
    <row r="589065" spans="31:32" x14ac:dyDescent="0.25">
      <c r="AE589065" s="36"/>
      <c r="AF589065" s="36"/>
    </row>
    <row r="589161" spans="31:32" x14ac:dyDescent="0.25">
      <c r="AE589161" s="34"/>
      <c r="AF589161" s="34"/>
    </row>
    <row r="589169" spans="31:32" x14ac:dyDescent="0.25">
      <c r="AE589169" s="36"/>
      <c r="AF589169" s="36"/>
    </row>
    <row r="589265" spans="31:32" x14ac:dyDescent="0.25">
      <c r="AE589265" s="34"/>
      <c r="AF589265" s="34"/>
    </row>
    <row r="589273" spans="31:32" x14ac:dyDescent="0.25">
      <c r="AE589273" s="36"/>
      <c r="AF589273" s="36"/>
    </row>
    <row r="589369" spans="31:32" x14ac:dyDescent="0.25">
      <c r="AE589369" s="34"/>
      <c r="AF589369" s="34"/>
    </row>
    <row r="589377" spans="31:32" x14ac:dyDescent="0.25">
      <c r="AE589377" s="36"/>
      <c r="AF589377" s="36"/>
    </row>
    <row r="589473" spans="31:32" x14ac:dyDescent="0.25">
      <c r="AE589473" s="34"/>
      <c r="AF589473" s="34"/>
    </row>
    <row r="589481" spans="31:32" x14ac:dyDescent="0.25">
      <c r="AE589481" s="36"/>
      <c r="AF589481" s="36"/>
    </row>
    <row r="589577" spans="31:32" x14ac:dyDescent="0.25">
      <c r="AE589577" s="34"/>
      <c r="AF589577" s="34"/>
    </row>
    <row r="589585" spans="31:32" x14ac:dyDescent="0.25">
      <c r="AE589585" s="36"/>
      <c r="AF589585" s="36"/>
    </row>
    <row r="589681" spans="31:32" x14ac:dyDescent="0.25">
      <c r="AE589681" s="34"/>
      <c r="AF589681" s="34"/>
    </row>
    <row r="589689" spans="31:32" x14ac:dyDescent="0.25">
      <c r="AE589689" s="36"/>
      <c r="AF589689" s="36"/>
    </row>
    <row r="589785" spans="31:32" x14ac:dyDescent="0.25">
      <c r="AE589785" s="34"/>
      <c r="AF589785" s="34"/>
    </row>
    <row r="589793" spans="31:32" x14ac:dyDescent="0.25">
      <c r="AE589793" s="36"/>
      <c r="AF589793" s="36"/>
    </row>
    <row r="589889" spans="31:32" x14ac:dyDescent="0.25">
      <c r="AE589889" s="34"/>
      <c r="AF589889" s="34"/>
    </row>
    <row r="589897" spans="31:32" x14ac:dyDescent="0.25">
      <c r="AE589897" s="36"/>
      <c r="AF589897" s="36"/>
    </row>
    <row r="589993" spans="31:32" x14ac:dyDescent="0.25">
      <c r="AE589993" s="34"/>
      <c r="AF589993" s="34"/>
    </row>
    <row r="590001" spans="31:32" x14ac:dyDescent="0.25">
      <c r="AE590001" s="36"/>
      <c r="AF590001" s="36"/>
    </row>
    <row r="590097" spans="31:32" x14ac:dyDescent="0.25">
      <c r="AE590097" s="34"/>
      <c r="AF590097" s="34"/>
    </row>
    <row r="590105" spans="31:32" x14ac:dyDescent="0.25">
      <c r="AE590105" s="36"/>
      <c r="AF590105" s="36"/>
    </row>
    <row r="590201" spans="31:32" x14ac:dyDescent="0.25">
      <c r="AE590201" s="34"/>
      <c r="AF590201" s="34"/>
    </row>
    <row r="590209" spans="31:32" x14ac:dyDescent="0.25">
      <c r="AE590209" s="36"/>
      <c r="AF590209" s="36"/>
    </row>
    <row r="590305" spans="31:32" x14ac:dyDescent="0.25">
      <c r="AE590305" s="34"/>
      <c r="AF590305" s="34"/>
    </row>
    <row r="590313" spans="31:32" x14ac:dyDescent="0.25">
      <c r="AE590313" s="36"/>
      <c r="AF590313" s="36"/>
    </row>
    <row r="590409" spans="31:32" x14ac:dyDescent="0.25">
      <c r="AE590409" s="34"/>
      <c r="AF590409" s="34"/>
    </row>
    <row r="590417" spans="31:32" x14ac:dyDescent="0.25">
      <c r="AE590417" s="36"/>
      <c r="AF590417" s="36"/>
    </row>
    <row r="590513" spans="31:32" x14ac:dyDescent="0.25">
      <c r="AE590513" s="34"/>
      <c r="AF590513" s="34"/>
    </row>
    <row r="590521" spans="31:32" x14ac:dyDescent="0.25">
      <c r="AE590521" s="36"/>
      <c r="AF590521" s="36"/>
    </row>
    <row r="590617" spans="31:32" x14ac:dyDescent="0.25">
      <c r="AE590617" s="34"/>
      <c r="AF590617" s="34"/>
    </row>
    <row r="590625" spans="31:32" x14ac:dyDescent="0.25">
      <c r="AE590625" s="36"/>
      <c r="AF590625" s="36"/>
    </row>
    <row r="590721" spans="31:32" x14ac:dyDescent="0.25">
      <c r="AE590721" s="34"/>
      <c r="AF590721" s="34"/>
    </row>
    <row r="590729" spans="31:32" x14ac:dyDescent="0.25">
      <c r="AE590729" s="36"/>
      <c r="AF590729" s="36"/>
    </row>
    <row r="590825" spans="31:32" x14ac:dyDescent="0.25">
      <c r="AE590825" s="34"/>
      <c r="AF590825" s="34"/>
    </row>
    <row r="590833" spans="31:32" x14ac:dyDescent="0.25">
      <c r="AE590833" s="36"/>
      <c r="AF590833" s="36"/>
    </row>
    <row r="590929" spans="31:32" x14ac:dyDescent="0.25">
      <c r="AE590929" s="34"/>
      <c r="AF590929" s="34"/>
    </row>
    <row r="590937" spans="31:32" x14ac:dyDescent="0.25">
      <c r="AE590937" s="36"/>
      <c r="AF590937" s="36"/>
    </row>
    <row r="591033" spans="31:32" x14ac:dyDescent="0.25">
      <c r="AE591033" s="34"/>
      <c r="AF591033" s="34"/>
    </row>
    <row r="591041" spans="31:32" x14ac:dyDescent="0.25">
      <c r="AE591041" s="36"/>
      <c r="AF591041" s="36"/>
    </row>
    <row r="591137" spans="31:32" x14ac:dyDescent="0.25">
      <c r="AE591137" s="34"/>
      <c r="AF591137" s="34"/>
    </row>
    <row r="591145" spans="31:32" x14ac:dyDescent="0.25">
      <c r="AE591145" s="36"/>
      <c r="AF591145" s="36"/>
    </row>
    <row r="591241" spans="31:32" x14ac:dyDescent="0.25">
      <c r="AE591241" s="34"/>
      <c r="AF591241" s="34"/>
    </row>
    <row r="591249" spans="31:32" x14ac:dyDescent="0.25">
      <c r="AE591249" s="36"/>
      <c r="AF591249" s="36"/>
    </row>
    <row r="591345" spans="31:32" x14ac:dyDescent="0.25">
      <c r="AE591345" s="34"/>
      <c r="AF591345" s="34"/>
    </row>
    <row r="591353" spans="31:32" x14ac:dyDescent="0.25">
      <c r="AE591353" s="36"/>
      <c r="AF591353" s="36"/>
    </row>
    <row r="591449" spans="31:32" x14ac:dyDescent="0.25">
      <c r="AE591449" s="34"/>
      <c r="AF591449" s="34"/>
    </row>
    <row r="591457" spans="31:32" x14ac:dyDescent="0.25">
      <c r="AE591457" s="36"/>
      <c r="AF591457" s="36"/>
    </row>
    <row r="591553" spans="31:32" x14ac:dyDescent="0.25">
      <c r="AE591553" s="34"/>
      <c r="AF591553" s="34"/>
    </row>
    <row r="591561" spans="31:32" x14ac:dyDescent="0.25">
      <c r="AE591561" s="36"/>
      <c r="AF591561" s="36"/>
    </row>
    <row r="591657" spans="31:32" x14ac:dyDescent="0.25">
      <c r="AE591657" s="34"/>
      <c r="AF591657" s="34"/>
    </row>
    <row r="591665" spans="31:32" x14ac:dyDescent="0.25">
      <c r="AE591665" s="36"/>
      <c r="AF591665" s="36"/>
    </row>
    <row r="591761" spans="31:32" x14ac:dyDescent="0.25">
      <c r="AE591761" s="34"/>
      <c r="AF591761" s="34"/>
    </row>
    <row r="591769" spans="31:32" x14ac:dyDescent="0.25">
      <c r="AE591769" s="36"/>
      <c r="AF591769" s="36"/>
    </row>
    <row r="591865" spans="31:32" x14ac:dyDescent="0.25">
      <c r="AE591865" s="34"/>
      <c r="AF591865" s="34"/>
    </row>
    <row r="591873" spans="31:32" x14ac:dyDescent="0.25">
      <c r="AE591873" s="36"/>
      <c r="AF591873" s="36"/>
    </row>
    <row r="591969" spans="31:32" x14ac:dyDescent="0.25">
      <c r="AE591969" s="34"/>
      <c r="AF591969" s="34"/>
    </row>
    <row r="591977" spans="31:32" x14ac:dyDescent="0.25">
      <c r="AE591977" s="36"/>
      <c r="AF591977" s="36"/>
    </row>
    <row r="592073" spans="31:32" x14ac:dyDescent="0.25">
      <c r="AE592073" s="34"/>
      <c r="AF592073" s="34"/>
    </row>
    <row r="592081" spans="31:32" x14ac:dyDescent="0.25">
      <c r="AE592081" s="36"/>
      <c r="AF592081" s="36"/>
    </row>
    <row r="592177" spans="31:32" x14ac:dyDescent="0.25">
      <c r="AE592177" s="34"/>
      <c r="AF592177" s="34"/>
    </row>
    <row r="592185" spans="31:32" x14ac:dyDescent="0.25">
      <c r="AE592185" s="36"/>
      <c r="AF592185" s="36"/>
    </row>
    <row r="592281" spans="31:32" x14ac:dyDescent="0.25">
      <c r="AE592281" s="34"/>
      <c r="AF592281" s="34"/>
    </row>
    <row r="592289" spans="31:32" x14ac:dyDescent="0.25">
      <c r="AE592289" s="36"/>
      <c r="AF592289" s="36"/>
    </row>
    <row r="592385" spans="31:32" x14ac:dyDescent="0.25">
      <c r="AE592385" s="34"/>
      <c r="AF592385" s="34"/>
    </row>
    <row r="592393" spans="31:32" x14ac:dyDescent="0.25">
      <c r="AE592393" s="36"/>
      <c r="AF592393" s="36"/>
    </row>
    <row r="592489" spans="31:32" x14ac:dyDescent="0.25">
      <c r="AE592489" s="34"/>
      <c r="AF592489" s="34"/>
    </row>
    <row r="592497" spans="31:32" x14ac:dyDescent="0.25">
      <c r="AE592497" s="36"/>
      <c r="AF592497" s="36"/>
    </row>
    <row r="592593" spans="31:32" x14ac:dyDescent="0.25">
      <c r="AE592593" s="34"/>
      <c r="AF592593" s="34"/>
    </row>
    <row r="592601" spans="31:32" x14ac:dyDescent="0.25">
      <c r="AE592601" s="36"/>
      <c r="AF592601" s="36"/>
    </row>
    <row r="592697" spans="31:32" x14ac:dyDescent="0.25">
      <c r="AE592697" s="34"/>
      <c r="AF592697" s="34"/>
    </row>
    <row r="592705" spans="31:32" x14ac:dyDescent="0.25">
      <c r="AE592705" s="36"/>
      <c r="AF592705" s="36"/>
    </row>
    <row r="592801" spans="31:32" x14ac:dyDescent="0.25">
      <c r="AE592801" s="34"/>
      <c r="AF592801" s="34"/>
    </row>
    <row r="592809" spans="31:32" x14ac:dyDescent="0.25">
      <c r="AE592809" s="36"/>
      <c r="AF592809" s="36"/>
    </row>
    <row r="592905" spans="31:32" x14ac:dyDescent="0.25">
      <c r="AE592905" s="34"/>
      <c r="AF592905" s="34"/>
    </row>
    <row r="592913" spans="31:32" x14ac:dyDescent="0.25">
      <c r="AE592913" s="36"/>
      <c r="AF592913" s="36"/>
    </row>
    <row r="593009" spans="31:32" x14ac:dyDescent="0.25">
      <c r="AE593009" s="34"/>
      <c r="AF593009" s="34"/>
    </row>
    <row r="593017" spans="31:32" x14ac:dyDescent="0.25">
      <c r="AE593017" s="36"/>
      <c r="AF593017" s="36"/>
    </row>
    <row r="593113" spans="31:32" x14ac:dyDescent="0.25">
      <c r="AE593113" s="34"/>
      <c r="AF593113" s="34"/>
    </row>
    <row r="593121" spans="31:32" x14ac:dyDescent="0.25">
      <c r="AE593121" s="36"/>
      <c r="AF593121" s="36"/>
    </row>
    <row r="593217" spans="31:32" x14ac:dyDescent="0.25">
      <c r="AE593217" s="34"/>
      <c r="AF593217" s="34"/>
    </row>
    <row r="593225" spans="31:32" x14ac:dyDescent="0.25">
      <c r="AE593225" s="36"/>
      <c r="AF593225" s="36"/>
    </row>
    <row r="593321" spans="31:32" x14ac:dyDescent="0.25">
      <c r="AE593321" s="34"/>
      <c r="AF593321" s="34"/>
    </row>
    <row r="593329" spans="31:32" x14ac:dyDescent="0.25">
      <c r="AE593329" s="36"/>
      <c r="AF593329" s="36"/>
    </row>
    <row r="593425" spans="31:32" x14ac:dyDescent="0.25">
      <c r="AE593425" s="34"/>
      <c r="AF593425" s="34"/>
    </row>
    <row r="593433" spans="31:32" x14ac:dyDescent="0.25">
      <c r="AE593433" s="36"/>
      <c r="AF593433" s="36"/>
    </row>
    <row r="593529" spans="31:32" x14ac:dyDescent="0.25">
      <c r="AE593529" s="34"/>
      <c r="AF593529" s="34"/>
    </row>
    <row r="593537" spans="31:32" x14ac:dyDescent="0.25">
      <c r="AE593537" s="36"/>
      <c r="AF593537" s="36"/>
    </row>
    <row r="593633" spans="31:32" x14ac:dyDescent="0.25">
      <c r="AE593633" s="34"/>
      <c r="AF593633" s="34"/>
    </row>
    <row r="593641" spans="31:32" x14ac:dyDescent="0.25">
      <c r="AE593641" s="36"/>
      <c r="AF593641" s="36"/>
    </row>
    <row r="593737" spans="31:32" x14ac:dyDescent="0.25">
      <c r="AE593737" s="34"/>
      <c r="AF593737" s="34"/>
    </row>
    <row r="593745" spans="31:32" x14ac:dyDescent="0.25">
      <c r="AE593745" s="36"/>
      <c r="AF593745" s="36"/>
    </row>
    <row r="593841" spans="31:32" x14ac:dyDescent="0.25">
      <c r="AE593841" s="34"/>
      <c r="AF593841" s="34"/>
    </row>
    <row r="593849" spans="31:32" x14ac:dyDescent="0.25">
      <c r="AE593849" s="36"/>
      <c r="AF593849" s="36"/>
    </row>
    <row r="593945" spans="31:32" x14ac:dyDescent="0.25">
      <c r="AE593945" s="34"/>
      <c r="AF593945" s="34"/>
    </row>
    <row r="593953" spans="31:32" x14ac:dyDescent="0.25">
      <c r="AE593953" s="36"/>
      <c r="AF593953" s="36"/>
    </row>
    <row r="594049" spans="31:32" x14ac:dyDescent="0.25">
      <c r="AE594049" s="34"/>
      <c r="AF594049" s="34"/>
    </row>
    <row r="594057" spans="31:32" x14ac:dyDescent="0.25">
      <c r="AE594057" s="36"/>
      <c r="AF594057" s="36"/>
    </row>
    <row r="594153" spans="31:32" x14ac:dyDescent="0.25">
      <c r="AE594153" s="34"/>
      <c r="AF594153" s="34"/>
    </row>
    <row r="594161" spans="31:32" x14ac:dyDescent="0.25">
      <c r="AE594161" s="36"/>
      <c r="AF594161" s="36"/>
    </row>
    <row r="594257" spans="31:32" x14ac:dyDescent="0.25">
      <c r="AE594257" s="34"/>
      <c r="AF594257" s="34"/>
    </row>
    <row r="594265" spans="31:32" x14ac:dyDescent="0.25">
      <c r="AE594265" s="36"/>
      <c r="AF594265" s="36"/>
    </row>
    <row r="594361" spans="31:32" x14ac:dyDescent="0.25">
      <c r="AE594361" s="34"/>
      <c r="AF594361" s="34"/>
    </row>
    <row r="594369" spans="31:32" x14ac:dyDescent="0.25">
      <c r="AE594369" s="36"/>
      <c r="AF594369" s="36"/>
    </row>
    <row r="594465" spans="31:32" x14ac:dyDescent="0.25">
      <c r="AE594465" s="34"/>
      <c r="AF594465" s="34"/>
    </row>
    <row r="594473" spans="31:32" x14ac:dyDescent="0.25">
      <c r="AE594473" s="36"/>
      <c r="AF594473" s="36"/>
    </row>
    <row r="594569" spans="31:32" x14ac:dyDescent="0.25">
      <c r="AE594569" s="34"/>
      <c r="AF594569" s="34"/>
    </row>
    <row r="594577" spans="31:32" x14ac:dyDescent="0.25">
      <c r="AE594577" s="36"/>
      <c r="AF594577" s="36"/>
    </row>
    <row r="594673" spans="31:32" x14ac:dyDescent="0.25">
      <c r="AE594673" s="34"/>
      <c r="AF594673" s="34"/>
    </row>
    <row r="594681" spans="31:32" x14ac:dyDescent="0.25">
      <c r="AE594681" s="36"/>
      <c r="AF594681" s="36"/>
    </row>
    <row r="594777" spans="31:32" x14ac:dyDescent="0.25">
      <c r="AE594777" s="34"/>
      <c r="AF594777" s="34"/>
    </row>
    <row r="594785" spans="31:32" x14ac:dyDescent="0.25">
      <c r="AE594785" s="36"/>
      <c r="AF594785" s="36"/>
    </row>
    <row r="594881" spans="31:32" x14ac:dyDescent="0.25">
      <c r="AE594881" s="34"/>
      <c r="AF594881" s="34"/>
    </row>
    <row r="594889" spans="31:32" x14ac:dyDescent="0.25">
      <c r="AE594889" s="36"/>
      <c r="AF594889" s="36"/>
    </row>
    <row r="594985" spans="31:32" x14ac:dyDescent="0.25">
      <c r="AE594985" s="34"/>
      <c r="AF594985" s="34"/>
    </row>
    <row r="594993" spans="31:32" x14ac:dyDescent="0.25">
      <c r="AE594993" s="36"/>
      <c r="AF594993" s="36"/>
    </row>
    <row r="595089" spans="31:32" x14ac:dyDescent="0.25">
      <c r="AE595089" s="34"/>
      <c r="AF595089" s="34"/>
    </row>
    <row r="595097" spans="31:32" x14ac:dyDescent="0.25">
      <c r="AE595097" s="36"/>
      <c r="AF595097" s="36"/>
    </row>
    <row r="595193" spans="31:32" x14ac:dyDescent="0.25">
      <c r="AE595193" s="34"/>
      <c r="AF595193" s="34"/>
    </row>
    <row r="595201" spans="31:32" x14ac:dyDescent="0.25">
      <c r="AE595201" s="36"/>
      <c r="AF595201" s="36"/>
    </row>
    <row r="595297" spans="31:32" x14ac:dyDescent="0.25">
      <c r="AE595297" s="34"/>
      <c r="AF595297" s="34"/>
    </row>
    <row r="595305" spans="31:32" x14ac:dyDescent="0.25">
      <c r="AE595305" s="36"/>
      <c r="AF595305" s="36"/>
    </row>
    <row r="595401" spans="31:32" x14ac:dyDescent="0.25">
      <c r="AE595401" s="34"/>
      <c r="AF595401" s="34"/>
    </row>
    <row r="595409" spans="31:32" x14ac:dyDescent="0.25">
      <c r="AE595409" s="36"/>
      <c r="AF595409" s="36"/>
    </row>
    <row r="595505" spans="31:32" x14ac:dyDescent="0.25">
      <c r="AE595505" s="34"/>
      <c r="AF595505" s="34"/>
    </row>
    <row r="595513" spans="31:32" x14ac:dyDescent="0.25">
      <c r="AE595513" s="36"/>
      <c r="AF595513" s="36"/>
    </row>
    <row r="595609" spans="31:32" x14ac:dyDescent="0.25">
      <c r="AE595609" s="34"/>
      <c r="AF595609" s="34"/>
    </row>
    <row r="595617" spans="31:32" x14ac:dyDescent="0.25">
      <c r="AE595617" s="36"/>
      <c r="AF595617" s="36"/>
    </row>
    <row r="595713" spans="31:32" x14ac:dyDescent="0.25">
      <c r="AE595713" s="34"/>
      <c r="AF595713" s="34"/>
    </row>
    <row r="595721" spans="31:32" x14ac:dyDescent="0.25">
      <c r="AE595721" s="36"/>
      <c r="AF595721" s="36"/>
    </row>
    <row r="595817" spans="31:32" x14ac:dyDescent="0.25">
      <c r="AE595817" s="34"/>
      <c r="AF595817" s="34"/>
    </row>
    <row r="595825" spans="31:32" x14ac:dyDescent="0.25">
      <c r="AE595825" s="36"/>
      <c r="AF595825" s="36"/>
    </row>
    <row r="595921" spans="31:32" x14ac:dyDescent="0.25">
      <c r="AE595921" s="34"/>
      <c r="AF595921" s="34"/>
    </row>
    <row r="595929" spans="31:32" x14ac:dyDescent="0.25">
      <c r="AE595929" s="36"/>
      <c r="AF595929" s="36"/>
    </row>
    <row r="596025" spans="31:32" x14ac:dyDescent="0.25">
      <c r="AE596025" s="34"/>
      <c r="AF596025" s="34"/>
    </row>
    <row r="596033" spans="31:32" x14ac:dyDescent="0.25">
      <c r="AE596033" s="36"/>
      <c r="AF596033" s="36"/>
    </row>
    <row r="596129" spans="31:32" x14ac:dyDescent="0.25">
      <c r="AE596129" s="34"/>
      <c r="AF596129" s="34"/>
    </row>
    <row r="596137" spans="31:32" x14ac:dyDescent="0.25">
      <c r="AE596137" s="36"/>
      <c r="AF596137" s="36"/>
    </row>
    <row r="596233" spans="31:32" x14ac:dyDescent="0.25">
      <c r="AE596233" s="34"/>
      <c r="AF596233" s="34"/>
    </row>
    <row r="596241" spans="31:32" x14ac:dyDescent="0.25">
      <c r="AE596241" s="36"/>
      <c r="AF596241" s="36"/>
    </row>
    <row r="596337" spans="31:32" x14ac:dyDescent="0.25">
      <c r="AE596337" s="34"/>
      <c r="AF596337" s="34"/>
    </row>
    <row r="596345" spans="31:32" x14ac:dyDescent="0.25">
      <c r="AE596345" s="36"/>
      <c r="AF596345" s="36"/>
    </row>
    <row r="596441" spans="31:32" x14ac:dyDescent="0.25">
      <c r="AE596441" s="34"/>
      <c r="AF596441" s="34"/>
    </row>
    <row r="596449" spans="31:32" x14ac:dyDescent="0.25">
      <c r="AE596449" s="36"/>
      <c r="AF596449" s="36"/>
    </row>
    <row r="596545" spans="31:32" x14ac:dyDescent="0.25">
      <c r="AE596545" s="34"/>
      <c r="AF596545" s="34"/>
    </row>
    <row r="596553" spans="31:32" x14ac:dyDescent="0.25">
      <c r="AE596553" s="36"/>
      <c r="AF596553" s="36"/>
    </row>
    <row r="596649" spans="31:32" x14ac:dyDescent="0.25">
      <c r="AE596649" s="34"/>
      <c r="AF596649" s="34"/>
    </row>
    <row r="596657" spans="31:32" x14ac:dyDescent="0.25">
      <c r="AE596657" s="36"/>
      <c r="AF596657" s="36"/>
    </row>
    <row r="596753" spans="31:32" x14ac:dyDescent="0.25">
      <c r="AE596753" s="34"/>
      <c r="AF596753" s="34"/>
    </row>
    <row r="596761" spans="31:32" x14ac:dyDescent="0.25">
      <c r="AE596761" s="36"/>
      <c r="AF596761" s="36"/>
    </row>
    <row r="596857" spans="31:32" x14ac:dyDescent="0.25">
      <c r="AE596857" s="34"/>
      <c r="AF596857" s="34"/>
    </row>
    <row r="596865" spans="31:32" x14ac:dyDescent="0.25">
      <c r="AE596865" s="36"/>
      <c r="AF596865" s="36"/>
    </row>
    <row r="596961" spans="31:32" x14ac:dyDescent="0.25">
      <c r="AE596961" s="34"/>
      <c r="AF596961" s="34"/>
    </row>
    <row r="596969" spans="31:32" x14ac:dyDescent="0.25">
      <c r="AE596969" s="36"/>
      <c r="AF596969" s="36"/>
    </row>
    <row r="597065" spans="31:32" x14ac:dyDescent="0.25">
      <c r="AE597065" s="34"/>
      <c r="AF597065" s="34"/>
    </row>
    <row r="597073" spans="31:32" x14ac:dyDescent="0.25">
      <c r="AE597073" s="36"/>
      <c r="AF597073" s="36"/>
    </row>
    <row r="597169" spans="31:32" x14ac:dyDescent="0.25">
      <c r="AE597169" s="34"/>
      <c r="AF597169" s="34"/>
    </row>
    <row r="597177" spans="31:32" x14ac:dyDescent="0.25">
      <c r="AE597177" s="36"/>
      <c r="AF597177" s="36"/>
    </row>
    <row r="597273" spans="31:32" x14ac:dyDescent="0.25">
      <c r="AE597273" s="34"/>
      <c r="AF597273" s="34"/>
    </row>
    <row r="597281" spans="31:32" x14ac:dyDescent="0.25">
      <c r="AE597281" s="36"/>
      <c r="AF597281" s="36"/>
    </row>
    <row r="597377" spans="31:32" x14ac:dyDescent="0.25">
      <c r="AE597377" s="34"/>
      <c r="AF597377" s="34"/>
    </row>
    <row r="597385" spans="31:32" x14ac:dyDescent="0.25">
      <c r="AE597385" s="36"/>
      <c r="AF597385" s="36"/>
    </row>
    <row r="597481" spans="31:32" x14ac:dyDescent="0.25">
      <c r="AE597481" s="34"/>
      <c r="AF597481" s="34"/>
    </row>
    <row r="597489" spans="31:32" x14ac:dyDescent="0.25">
      <c r="AE597489" s="36"/>
      <c r="AF597489" s="36"/>
    </row>
    <row r="597585" spans="31:32" x14ac:dyDescent="0.25">
      <c r="AE597585" s="34"/>
      <c r="AF597585" s="34"/>
    </row>
    <row r="597593" spans="31:32" x14ac:dyDescent="0.25">
      <c r="AE597593" s="36"/>
      <c r="AF597593" s="36"/>
    </row>
    <row r="597689" spans="31:32" x14ac:dyDescent="0.25">
      <c r="AE597689" s="34"/>
      <c r="AF597689" s="34"/>
    </row>
    <row r="597697" spans="31:32" x14ac:dyDescent="0.25">
      <c r="AE597697" s="36"/>
      <c r="AF597697" s="36"/>
    </row>
    <row r="597793" spans="31:32" x14ac:dyDescent="0.25">
      <c r="AE597793" s="34"/>
      <c r="AF597793" s="34"/>
    </row>
    <row r="597801" spans="31:32" x14ac:dyDescent="0.25">
      <c r="AE597801" s="36"/>
      <c r="AF597801" s="36"/>
    </row>
    <row r="597897" spans="31:32" x14ac:dyDescent="0.25">
      <c r="AE597897" s="34"/>
      <c r="AF597897" s="34"/>
    </row>
    <row r="597905" spans="31:32" x14ac:dyDescent="0.25">
      <c r="AE597905" s="36"/>
      <c r="AF597905" s="36"/>
    </row>
    <row r="598001" spans="31:32" x14ac:dyDescent="0.25">
      <c r="AE598001" s="34"/>
      <c r="AF598001" s="34"/>
    </row>
    <row r="598009" spans="31:32" x14ac:dyDescent="0.25">
      <c r="AE598009" s="36"/>
      <c r="AF598009" s="36"/>
    </row>
    <row r="598105" spans="31:32" x14ac:dyDescent="0.25">
      <c r="AE598105" s="34"/>
      <c r="AF598105" s="34"/>
    </row>
    <row r="598113" spans="31:32" x14ac:dyDescent="0.25">
      <c r="AE598113" s="36"/>
      <c r="AF598113" s="36"/>
    </row>
    <row r="598209" spans="31:32" x14ac:dyDescent="0.25">
      <c r="AE598209" s="34"/>
      <c r="AF598209" s="34"/>
    </row>
    <row r="598217" spans="31:32" x14ac:dyDescent="0.25">
      <c r="AE598217" s="36"/>
      <c r="AF598217" s="36"/>
    </row>
    <row r="598313" spans="31:32" x14ac:dyDescent="0.25">
      <c r="AE598313" s="34"/>
      <c r="AF598313" s="34"/>
    </row>
    <row r="598321" spans="31:32" x14ac:dyDescent="0.25">
      <c r="AE598321" s="36"/>
      <c r="AF598321" s="36"/>
    </row>
    <row r="598417" spans="31:32" x14ac:dyDescent="0.25">
      <c r="AE598417" s="34"/>
      <c r="AF598417" s="34"/>
    </row>
    <row r="598425" spans="31:32" x14ac:dyDescent="0.25">
      <c r="AE598425" s="36"/>
      <c r="AF598425" s="36"/>
    </row>
    <row r="598521" spans="31:32" x14ac:dyDescent="0.25">
      <c r="AE598521" s="34"/>
      <c r="AF598521" s="34"/>
    </row>
    <row r="598529" spans="31:32" x14ac:dyDescent="0.25">
      <c r="AE598529" s="36"/>
      <c r="AF598529" s="36"/>
    </row>
    <row r="598625" spans="31:32" x14ac:dyDescent="0.25">
      <c r="AE598625" s="34"/>
      <c r="AF598625" s="34"/>
    </row>
    <row r="598633" spans="31:32" x14ac:dyDescent="0.25">
      <c r="AE598633" s="36"/>
      <c r="AF598633" s="36"/>
    </row>
    <row r="598729" spans="31:32" x14ac:dyDescent="0.25">
      <c r="AE598729" s="34"/>
      <c r="AF598729" s="34"/>
    </row>
    <row r="598737" spans="31:32" x14ac:dyDescent="0.25">
      <c r="AE598737" s="36"/>
      <c r="AF598737" s="36"/>
    </row>
    <row r="598833" spans="31:32" x14ac:dyDescent="0.25">
      <c r="AE598833" s="34"/>
      <c r="AF598833" s="34"/>
    </row>
    <row r="598841" spans="31:32" x14ac:dyDescent="0.25">
      <c r="AE598841" s="36"/>
      <c r="AF598841" s="36"/>
    </row>
    <row r="598937" spans="31:32" x14ac:dyDescent="0.25">
      <c r="AE598937" s="34"/>
      <c r="AF598937" s="34"/>
    </row>
    <row r="598945" spans="31:32" x14ac:dyDescent="0.25">
      <c r="AE598945" s="36"/>
      <c r="AF598945" s="36"/>
    </row>
    <row r="599041" spans="31:32" x14ac:dyDescent="0.25">
      <c r="AE599041" s="34"/>
      <c r="AF599041" s="34"/>
    </row>
    <row r="599049" spans="31:32" x14ac:dyDescent="0.25">
      <c r="AE599049" s="36"/>
      <c r="AF599049" s="36"/>
    </row>
    <row r="599145" spans="31:32" x14ac:dyDescent="0.25">
      <c r="AE599145" s="34"/>
      <c r="AF599145" s="34"/>
    </row>
    <row r="599153" spans="31:32" x14ac:dyDescent="0.25">
      <c r="AE599153" s="36"/>
      <c r="AF599153" s="36"/>
    </row>
    <row r="599249" spans="31:32" x14ac:dyDescent="0.25">
      <c r="AE599249" s="34"/>
      <c r="AF599249" s="34"/>
    </row>
    <row r="599257" spans="31:32" x14ac:dyDescent="0.25">
      <c r="AE599257" s="36"/>
      <c r="AF599257" s="36"/>
    </row>
    <row r="599353" spans="31:32" x14ac:dyDescent="0.25">
      <c r="AE599353" s="34"/>
      <c r="AF599353" s="34"/>
    </row>
    <row r="599361" spans="31:32" x14ac:dyDescent="0.25">
      <c r="AE599361" s="36"/>
      <c r="AF599361" s="36"/>
    </row>
    <row r="599457" spans="31:32" x14ac:dyDescent="0.25">
      <c r="AE599457" s="34"/>
      <c r="AF599457" s="34"/>
    </row>
    <row r="599465" spans="31:32" x14ac:dyDescent="0.25">
      <c r="AE599465" s="36"/>
      <c r="AF599465" s="36"/>
    </row>
    <row r="599561" spans="31:32" x14ac:dyDescent="0.25">
      <c r="AE599561" s="34"/>
      <c r="AF599561" s="34"/>
    </row>
    <row r="599569" spans="31:32" x14ac:dyDescent="0.25">
      <c r="AE599569" s="36"/>
      <c r="AF599569" s="36"/>
    </row>
    <row r="599665" spans="31:32" x14ac:dyDescent="0.25">
      <c r="AE599665" s="34"/>
      <c r="AF599665" s="34"/>
    </row>
    <row r="599673" spans="31:32" x14ac:dyDescent="0.25">
      <c r="AE599673" s="36"/>
      <c r="AF599673" s="36"/>
    </row>
    <row r="599769" spans="31:32" x14ac:dyDescent="0.25">
      <c r="AE599769" s="34"/>
      <c r="AF599769" s="34"/>
    </row>
    <row r="599777" spans="31:32" x14ac:dyDescent="0.25">
      <c r="AE599777" s="36"/>
      <c r="AF599777" s="36"/>
    </row>
    <row r="599873" spans="31:32" x14ac:dyDescent="0.25">
      <c r="AE599873" s="34"/>
      <c r="AF599873" s="34"/>
    </row>
    <row r="599881" spans="31:32" x14ac:dyDescent="0.25">
      <c r="AE599881" s="36"/>
      <c r="AF599881" s="36"/>
    </row>
    <row r="599977" spans="31:32" x14ac:dyDescent="0.25">
      <c r="AE599977" s="34"/>
      <c r="AF599977" s="34"/>
    </row>
    <row r="599985" spans="31:32" x14ac:dyDescent="0.25">
      <c r="AE599985" s="36"/>
      <c r="AF599985" s="36"/>
    </row>
    <row r="600081" spans="31:32" x14ac:dyDescent="0.25">
      <c r="AE600081" s="34"/>
      <c r="AF600081" s="34"/>
    </row>
    <row r="600089" spans="31:32" x14ac:dyDescent="0.25">
      <c r="AE600089" s="36"/>
      <c r="AF600089" s="36"/>
    </row>
    <row r="600185" spans="31:32" x14ac:dyDescent="0.25">
      <c r="AE600185" s="34"/>
      <c r="AF600185" s="34"/>
    </row>
    <row r="600193" spans="31:32" x14ac:dyDescent="0.25">
      <c r="AE600193" s="36"/>
      <c r="AF600193" s="36"/>
    </row>
    <row r="600289" spans="31:32" x14ac:dyDescent="0.25">
      <c r="AE600289" s="34"/>
      <c r="AF600289" s="34"/>
    </row>
    <row r="600297" spans="31:32" x14ac:dyDescent="0.25">
      <c r="AE600297" s="36"/>
      <c r="AF600297" s="36"/>
    </row>
    <row r="600393" spans="31:32" x14ac:dyDescent="0.25">
      <c r="AE600393" s="34"/>
      <c r="AF600393" s="34"/>
    </row>
    <row r="600401" spans="31:32" x14ac:dyDescent="0.25">
      <c r="AE600401" s="36"/>
      <c r="AF600401" s="36"/>
    </row>
    <row r="600497" spans="31:32" x14ac:dyDescent="0.25">
      <c r="AE600497" s="34"/>
      <c r="AF600497" s="34"/>
    </row>
    <row r="600505" spans="31:32" x14ac:dyDescent="0.25">
      <c r="AE600505" s="36"/>
      <c r="AF600505" s="36"/>
    </row>
    <row r="600601" spans="31:32" x14ac:dyDescent="0.25">
      <c r="AE600601" s="34"/>
      <c r="AF600601" s="34"/>
    </row>
    <row r="600609" spans="31:32" x14ac:dyDescent="0.25">
      <c r="AE600609" s="36"/>
      <c r="AF600609" s="36"/>
    </row>
    <row r="600705" spans="31:32" x14ac:dyDescent="0.25">
      <c r="AE600705" s="34"/>
      <c r="AF600705" s="34"/>
    </row>
    <row r="600713" spans="31:32" x14ac:dyDescent="0.25">
      <c r="AE600713" s="36"/>
      <c r="AF600713" s="36"/>
    </row>
    <row r="600809" spans="31:32" x14ac:dyDescent="0.25">
      <c r="AE600809" s="34"/>
      <c r="AF600809" s="34"/>
    </row>
    <row r="600817" spans="31:32" x14ac:dyDescent="0.25">
      <c r="AE600817" s="36"/>
      <c r="AF600817" s="36"/>
    </row>
    <row r="600913" spans="31:32" x14ac:dyDescent="0.25">
      <c r="AE600913" s="34"/>
      <c r="AF600913" s="34"/>
    </row>
    <row r="600921" spans="31:32" x14ac:dyDescent="0.25">
      <c r="AE600921" s="36"/>
      <c r="AF600921" s="36"/>
    </row>
    <row r="601017" spans="31:32" x14ac:dyDescent="0.25">
      <c r="AE601017" s="34"/>
      <c r="AF601017" s="34"/>
    </row>
    <row r="601025" spans="31:32" x14ac:dyDescent="0.25">
      <c r="AE601025" s="36"/>
      <c r="AF601025" s="36"/>
    </row>
    <row r="601121" spans="31:32" x14ac:dyDescent="0.25">
      <c r="AE601121" s="34"/>
      <c r="AF601121" s="34"/>
    </row>
    <row r="601129" spans="31:32" x14ac:dyDescent="0.25">
      <c r="AE601129" s="36"/>
      <c r="AF601129" s="36"/>
    </row>
    <row r="601225" spans="31:32" x14ac:dyDescent="0.25">
      <c r="AE601225" s="34"/>
      <c r="AF601225" s="34"/>
    </row>
    <row r="601233" spans="31:32" x14ac:dyDescent="0.25">
      <c r="AE601233" s="36"/>
      <c r="AF601233" s="36"/>
    </row>
    <row r="601329" spans="31:32" x14ac:dyDescent="0.25">
      <c r="AE601329" s="34"/>
      <c r="AF601329" s="34"/>
    </row>
    <row r="601337" spans="31:32" x14ac:dyDescent="0.25">
      <c r="AE601337" s="36"/>
      <c r="AF601337" s="36"/>
    </row>
    <row r="601433" spans="31:32" x14ac:dyDescent="0.25">
      <c r="AE601433" s="34"/>
      <c r="AF601433" s="34"/>
    </row>
    <row r="601441" spans="31:32" x14ac:dyDescent="0.25">
      <c r="AE601441" s="36"/>
      <c r="AF601441" s="36"/>
    </row>
    <row r="601537" spans="31:32" x14ac:dyDescent="0.25">
      <c r="AE601537" s="34"/>
      <c r="AF601537" s="34"/>
    </row>
    <row r="601545" spans="31:32" x14ac:dyDescent="0.25">
      <c r="AE601545" s="36"/>
      <c r="AF601545" s="36"/>
    </row>
    <row r="601641" spans="31:32" x14ac:dyDescent="0.25">
      <c r="AE601641" s="34"/>
      <c r="AF601641" s="34"/>
    </row>
    <row r="601649" spans="31:32" x14ac:dyDescent="0.25">
      <c r="AE601649" s="36"/>
      <c r="AF601649" s="36"/>
    </row>
    <row r="601745" spans="31:32" x14ac:dyDescent="0.25">
      <c r="AE601745" s="34"/>
      <c r="AF601745" s="34"/>
    </row>
    <row r="601753" spans="31:32" x14ac:dyDescent="0.25">
      <c r="AE601753" s="36"/>
      <c r="AF601753" s="36"/>
    </row>
    <row r="601849" spans="31:32" x14ac:dyDescent="0.25">
      <c r="AE601849" s="34"/>
      <c r="AF601849" s="34"/>
    </row>
    <row r="601857" spans="31:32" x14ac:dyDescent="0.25">
      <c r="AE601857" s="36"/>
      <c r="AF601857" s="36"/>
    </row>
    <row r="601953" spans="31:32" x14ac:dyDescent="0.25">
      <c r="AE601953" s="34"/>
      <c r="AF601953" s="34"/>
    </row>
    <row r="601961" spans="31:32" x14ac:dyDescent="0.25">
      <c r="AE601961" s="36"/>
      <c r="AF601961" s="36"/>
    </row>
    <row r="602057" spans="31:32" x14ac:dyDescent="0.25">
      <c r="AE602057" s="34"/>
      <c r="AF602057" s="34"/>
    </row>
    <row r="602065" spans="31:32" x14ac:dyDescent="0.25">
      <c r="AE602065" s="36"/>
      <c r="AF602065" s="36"/>
    </row>
    <row r="602161" spans="31:32" x14ac:dyDescent="0.25">
      <c r="AE602161" s="34"/>
      <c r="AF602161" s="34"/>
    </row>
    <row r="602169" spans="31:32" x14ac:dyDescent="0.25">
      <c r="AE602169" s="36"/>
      <c r="AF602169" s="36"/>
    </row>
    <row r="602265" spans="31:32" x14ac:dyDescent="0.25">
      <c r="AE602265" s="34"/>
      <c r="AF602265" s="34"/>
    </row>
    <row r="602273" spans="31:32" x14ac:dyDescent="0.25">
      <c r="AE602273" s="36"/>
      <c r="AF602273" s="36"/>
    </row>
    <row r="602369" spans="31:32" x14ac:dyDescent="0.25">
      <c r="AE602369" s="34"/>
      <c r="AF602369" s="34"/>
    </row>
    <row r="602377" spans="31:32" x14ac:dyDescent="0.25">
      <c r="AE602377" s="36"/>
      <c r="AF602377" s="36"/>
    </row>
    <row r="602473" spans="31:32" x14ac:dyDescent="0.25">
      <c r="AE602473" s="34"/>
      <c r="AF602473" s="34"/>
    </row>
    <row r="602481" spans="31:32" x14ac:dyDescent="0.25">
      <c r="AE602481" s="36"/>
      <c r="AF602481" s="36"/>
    </row>
    <row r="602577" spans="31:32" x14ac:dyDescent="0.25">
      <c r="AE602577" s="34"/>
      <c r="AF602577" s="34"/>
    </row>
    <row r="602585" spans="31:32" x14ac:dyDescent="0.25">
      <c r="AE602585" s="36"/>
      <c r="AF602585" s="36"/>
    </row>
    <row r="602681" spans="31:32" x14ac:dyDescent="0.25">
      <c r="AE602681" s="34"/>
      <c r="AF602681" s="34"/>
    </row>
    <row r="602689" spans="31:32" x14ac:dyDescent="0.25">
      <c r="AE602689" s="36"/>
      <c r="AF602689" s="36"/>
    </row>
    <row r="602785" spans="31:32" x14ac:dyDescent="0.25">
      <c r="AE602785" s="34"/>
      <c r="AF602785" s="34"/>
    </row>
    <row r="602793" spans="31:32" x14ac:dyDescent="0.25">
      <c r="AE602793" s="36"/>
      <c r="AF602793" s="36"/>
    </row>
    <row r="602889" spans="31:32" x14ac:dyDescent="0.25">
      <c r="AE602889" s="34"/>
      <c r="AF602889" s="34"/>
    </row>
    <row r="602897" spans="31:32" x14ac:dyDescent="0.25">
      <c r="AE602897" s="36"/>
      <c r="AF602897" s="36"/>
    </row>
    <row r="602993" spans="31:32" x14ac:dyDescent="0.25">
      <c r="AE602993" s="34"/>
      <c r="AF602993" s="34"/>
    </row>
    <row r="603001" spans="31:32" x14ac:dyDescent="0.25">
      <c r="AE603001" s="36"/>
      <c r="AF603001" s="36"/>
    </row>
    <row r="603097" spans="31:32" x14ac:dyDescent="0.25">
      <c r="AE603097" s="34"/>
      <c r="AF603097" s="34"/>
    </row>
    <row r="603105" spans="31:32" x14ac:dyDescent="0.25">
      <c r="AE603105" s="36"/>
      <c r="AF603105" s="36"/>
    </row>
    <row r="603201" spans="31:32" x14ac:dyDescent="0.25">
      <c r="AE603201" s="34"/>
      <c r="AF603201" s="34"/>
    </row>
    <row r="603209" spans="31:32" x14ac:dyDescent="0.25">
      <c r="AE603209" s="36"/>
      <c r="AF603209" s="36"/>
    </row>
    <row r="603305" spans="31:32" x14ac:dyDescent="0.25">
      <c r="AE603305" s="34"/>
      <c r="AF603305" s="34"/>
    </row>
    <row r="603313" spans="31:32" x14ac:dyDescent="0.25">
      <c r="AE603313" s="36"/>
      <c r="AF603313" s="36"/>
    </row>
    <row r="603409" spans="31:32" x14ac:dyDescent="0.25">
      <c r="AE603409" s="34"/>
      <c r="AF603409" s="34"/>
    </row>
    <row r="603417" spans="31:32" x14ac:dyDescent="0.25">
      <c r="AE603417" s="36"/>
      <c r="AF603417" s="36"/>
    </row>
    <row r="603513" spans="31:32" x14ac:dyDescent="0.25">
      <c r="AE603513" s="34"/>
      <c r="AF603513" s="34"/>
    </row>
    <row r="603521" spans="31:32" x14ac:dyDescent="0.25">
      <c r="AE603521" s="36"/>
      <c r="AF603521" s="36"/>
    </row>
    <row r="603617" spans="31:32" x14ac:dyDescent="0.25">
      <c r="AE603617" s="34"/>
      <c r="AF603617" s="34"/>
    </row>
    <row r="603625" spans="31:32" x14ac:dyDescent="0.25">
      <c r="AE603625" s="36"/>
      <c r="AF603625" s="36"/>
    </row>
    <row r="603721" spans="31:32" x14ac:dyDescent="0.25">
      <c r="AE603721" s="34"/>
      <c r="AF603721" s="34"/>
    </row>
    <row r="603729" spans="31:32" x14ac:dyDescent="0.25">
      <c r="AE603729" s="36"/>
      <c r="AF603729" s="36"/>
    </row>
    <row r="603825" spans="31:32" x14ac:dyDescent="0.25">
      <c r="AE603825" s="34"/>
      <c r="AF603825" s="34"/>
    </row>
    <row r="603833" spans="31:32" x14ac:dyDescent="0.25">
      <c r="AE603833" s="36"/>
      <c r="AF603833" s="36"/>
    </row>
    <row r="603929" spans="31:32" x14ac:dyDescent="0.25">
      <c r="AE603929" s="34"/>
      <c r="AF603929" s="34"/>
    </row>
    <row r="603937" spans="31:32" x14ac:dyDescent="0.25">
      <c r="AE603937" s="36"/>
      <c r="AF603937" s="36"/>
    </row>
    <row r="604033" spans="31:32" x14ac:dyDescent="0.25">
      <c r="AE604033" s="34"/>
      <c r="AF604033" s="34"/>
    </row>
    <row r="604041" spans="31:32" x14ac:dyDescent="0.25">
      <c r="AE604041" s="36"/>
      <c r="AF604041" s="36"/>
    </row>
    <row r="604137" spans="31:32" x14ac:dyDescent="0.25">
      <c r="AE604137" s="34"/>
      <c r="AF604137" s="34"/>
    </row>
    <row r="604145" spans="31:32" x14ac:dyDescent="0.25">
      <c r="AE604145" s="36"/>
      <c r="AF604145" s="36"/>
    </row>
    <row r="604241" spans="31:32" x14ac:dyDescent="0.25">
      <c r="AE604241" s="34"/>
      <c r="AF604241" s="34"/>
    </row>
    <row r="604249" spans="31:32" x14ac:dyDescent="0.25">
      <c r="AE604249" s="36"/>
      <c r="AF604249" s="36"/>
    </row>
    <row r="604345" spans="31:32" x14ac:dyDescent="0.25">
      <c r="AE604345" s="34"/>
      <c r="AF604345" s="34"/>
    </row>
    <row r="604353" spans="31:32" x14ac:dyDescent="0.25">
      <c r="AE604353" s="36"/>
      <c r="AF604353" s="36"/>
    </row>
    <row r="604449" spans="31:32" x14ac:dyDescent="0.25">
      <c r="AE604449" s="34"/>
      <c r="AF604449" s="34"/>
    </row>
    <row r="604457" spans="31:32" x14ac:dyDescent="0.25">
      <c r="AE604457" s="36"/>
      <c r="AF604457" s="36"/>
    </row>
    <row r="604553" spans="31:32" x14ac:dyDescent="0.25">
      <c r="AE604553" s="34"/>
      <c r="AF604553" s="34"/>
    </row>
    <row r="604561" spans="31:32" x14ac:dyDescent="0.25">
      <c r="AE604561" s="36"/>
      <c r="AF604561" s="36"/>
    </row>
    <row r="604657" spans="31:32" x14ac:dyDescent="0.25">
      <c r="AE604657" s="34"/>
      <c r="AF604657" s="34"/>
    </row>
    <row r="604665" spans="31:32" x14ac:dyDescent="0.25">
      <c r="AE604665" s="36"/>
      <c r="AF604665" s="36"/>
    </row>
    <row r="604761" spans="31:32" x14ac:dyDescent="0.25">
      <c r="AE604761" s="34"/>
      <c r="AF604761" s="34"/>
    </row>
    <row r="604769" spans="31:32" x14ac:dyDescent="0.25">
      <c r="AE604769" s="36"/>
      <c r="AF604769" s="36"/>
    </row>
    <row r="604865" spans="31:32" x14ac:dyDescent="0.25">
      <c r="AE604865" s="34"/>
      <c r="AF604865" s="34"/>
    </row>
    <row r="604873" spans="31:32" x14ac:dyDescent="0.25">
      <c r="AE604873" s="36"/>
      <c r="AF604873" s="36"/>
    </row>
    <row r="604969" spans="31:32" x14ac:dyDescent="0.25">
      <c r="AE604969" s="34"/>
      <c r="AF604969" s="34"/>
    </row>
    <row r="604977" spans="31:32" x14ac:dyDescent="0.25">
      <c r="AE604977" s="36"/>
      <c r="AF604977" s="36"/>
    </row>
    <row r="605073" spans="31:32" x14ac:dyDescent="0.25">
      <c r="AE605073" s="34"/>
      <c r="AF605073" s="34"/>
    </row>
    <row r="605081" spans="31:32" x14ac:dyDescent="0.25">
      <c r="AE605081" s="36"/>
      <c r="AF605081" s="36"/>
    </row>
    <row r="605177" spans="31:32" x14ac:dyDescent="0.25">
      <c r="AE605177" s="34"/>
      <c r="AF605177" s="34"/>
    </row>
    <row r="605185" spans="31:32" x14ac:dyDescent="0.25">
      <c r="AE605185" s="36"/>
      <c r="AF605185" s="36"/>
    </row>
    <row r="605281" spans="31:32" x14ac:dyDescent="0.25">
      <c r="AE605281" s="34"/>
      <c r="AF605281" s="34"/>
    </row>
    <row r="605289" spans="31:32" x14ac:dyDescent="0.25">
      <c r="AE605289" s="36"/>
      <c r="AF605289" s="36"/>
    </row>
    <row r="605385" spans="31:32" x14ac:dyDescent="0.25">
      <c r="AE605385" s="34"/>
      <c r="AF605385" s="34"/>
    </row>
    <row r="605393" spans="31:32" x14ac:dyDescent="0.25">
      <c r="AE605393" s="36"/>
      <c r="AF605393" s="36"/>
    </row>
    <row r="605489" spans="31:32" x14ac:dyDescent="0.25">
      <c r="AE605489" s="34"/>
      <c r="AF605489" s="34"/>
    </row>
    <row r="605497" spans="31:32" x14ac:dyDescent="0.25">
      <c r="AE605497" s="36"/>
      <c r="AF605497" s="36"/>
    </row>
    <row r="605593" spans="31:32" x14ac:dyDescent="0.25">
      <c r="AE605593" s="34"/>
      <c r="AF605593" s="34"/>
    </row>
    <row r="605601" spans="31:32" x14ac:dyDescent="0.25">
      <c r="AE605601" s="36"/>
      <c r="AF605601" s="36"/>
    </row>
    <row r="605697" spans="31:32" x14ac:dyDescent="0.25">
      <c r="AE605697" s="34"/>
      <c r="AF605697" s="34"/>
    </row>
    <row r="605705" spans="31:32" x14ac:dyDescent="0.25">
      <c r="AE605705" s="36"/>
      <c r="AF605705" s="36"/>
    </row>
    <row r="605801" spans="31:32" x14ac:dyDescent="0.25">
      <c r="AE605801" s="34"/>
      <c r="AF605801" s="34"/>
    </row>
    <row r="605809" spans="31:32" x14ac:dyDescent="0.25">
      <c r="AE605809" s="36"/>
      <c r="AF605809" s="36"/>
    </row>
    <row r="605905" spans="31:32" x14ac:dyDescent="0.25">
      <c r="AE605905" s="34"/>
      <c r="AF605905" s="34"/>
    </row>
    <row r="605913" spans="31:32" x14ac:dyDescent="0.25">
      <c r="AE605913" s="36"/>
      <c r="AF605913" s="36"/>
    </row>
    <row r="606009" spans="31:32" x14ac:dyDescent="0.25">
      <c r="AE606009" s="34"/>
      <c r="AF606009" s="34"/>
    </row>
    <row r="606017" spans="31:32" x14ac:dyDescent="0.25">
      <c r="AE606017" s="36"/>
      <c r="AF606017" s="36"/>
    </row>
    <row r="606113" spans="31:32" x14ac:dyDescent="0.25">
      <c r="AE606113" s="34"/>
      <c r="AF606113" s="34"/>
    </row>
    <row r="606121" spans="31:32" x14ac:dyDescent="0.25">
      <c r="AE606121" s="36"/>
      <c r="AF606121" s="36"/>
    </row>
    <row r="606217" spans="31:32" x14ac:dyDescent="0.25">
      <c r="AE606217" s="34"/>
      <c r="AF606217" s="34"/>
    </row>
    <row r="606225" spans="31:32" x14ac:dyDescent="0.25">
      <c r="AE606225" s="36"/>
      <c r="AF606225" s="36"/>
    </row>
    <row r="606321" spans="31:32" x14ac:dyDescent="0.25">
      <c r="AE606321" s="34"/>
      <c r="AF606321" s="34"/>
    </row>
    <row r="606329" spans="31:32" x14ac:dyDescent="0.25">
      <c r="AE606329" s="36"/>
      <c r="AF606329" s="36"/>
    </row>
    <row r="606425" spans="31:32" x14ac:dyDescent="0.25">
      <c r="AE606425" s="34"/>
      <c r="AF606425" s="34"/>
    </row>
    <row r="606433" spans="31:32" x14ac:dyDescent="0.25">
      <c r="AE606433" s="36"/>
      <c r="AF606433" s="36"/>
    </row>
    <row r="606529" spans="31:32" x14ac:dyDescent="0.25">
      <c r="AE606529" s="34"/>
      <c r="AF606529" s="34"/>
    </row>
    <row r="606537" spans="31:32" x14ac:dyDescent="0.25">
      <c r="AE606537" s="36"/>
      <c r="AF606537" s="36"/>
    </row>
    <row r="606633" spans="31:32" x14ac:dyDescent="0.25">
      <c r="AE606633" s="34"/>
      <c r="AF606633" s="34"/>
    </row>
    <row r="606641" spans="31:32" x14ac:dyDescent="0.25">
      <c r="AE606641" s="36"/>
      <c r="AF606641" s="36"/>
    </row>
    <row r="606737" spans="31:32" x14ac:dyDescent="0.25">
      <c r="AE606737" s="34"/>
      <c r="AF606737" s="34"/>
    </row>
    <row r="606745" spans="31:32" x14ac:dyDescent="0.25">
      <c r="AE606745" s="36"/>
      <c r="AF606745" s="36"/>
    </row>
    <row r="606841" spans="31:32" x14ac:dyDescent="0.25">
      <c r="AE606841" s="34"/>
      <c r="AF606841" s="34"/>
    </row>
    <row r="606849" spans="31:32" x14ac:dyDescent="0.25">
      <c r="AE606849" s="36"/>
      <c r="AF606849" s="36"/>
    </row>
    <row r="606945" spans="31:32" x14ac:dyDescent="0.25">
      <c r="AE606945" s="34"/>
      <c r="AF606945" s="34"/>
    </row>
    <row r="606953" spans="31:32" x14ac:dyDescent="0.25">
      <c r="AE606953" s="36"/>
      <c r="AF606953" s="36"/>
    </row>
    <row r="607049" spans="31:32" x14ac:dyDescent="0.25">
      <c r="AE607049" s="34"/>
      <c r="AF607049" s="34"/>
    </row>
    <row r="607057" spans="31:32" x14ac:dyDescent="0.25">
      <c r="AE607057" s="36"/>
      <c r="AF607057" s="36"/>
    </row>
    <row r="607153" spans="31:32" x14ac:dyDescent="0.25">
      <c r="AE607153" s="34"/>
      <c r="AF607153" s="34"/>
    </row>
    <row r="607161" spans="31:32" x14ac:dyDescent="0.25">
      <c r="AE607161" s="36"/>
      <c r="AF607161" s="36"/>
    </row>
    <row r="607257" spans="31:32" x14ac:dyDescent="0.25">
      <c r="AE607257" s="34"/>
      <c r="AF607257" s="34"/>
    </row>
    <row r="607265" spans="31:32" x14ac:dyDescent="0.25">
      <c r="AE607265" s="36"/>
      <c r="AF607265" s="36"/>
    </row>
    <row r="607361" spans="31:32" x14ac:dyDescent="0.25">
      <c r="AE607361" s="34"/>
      <c r="AF607361" s="34"/>
    </row>
    <row r="607369" spans="31:32" x14ac:dyDescent="0.25">
      <c r="AE607369" s="36"/>
      <c r="AF607369" s="36"/>
    </row>
    <row r="607465" spans="31:32" x14ac:dyDescent="0.25">
      <c r="AE607465" s="34"/>
      <c r="AF607465" s="34"/>
    </row>
    <row r="607473" spans="31:32" x14ac:dyDescent="0.25">
      <c r="AE607473" s="36"/>
      <c r="AF607473" s="36"/>
    </row>
    <row r="607569" spans="31:32" x14ac:dyDescent="0.25">
      <c r="AE607569" s="34"/>
      <c r="AF607569" s="34"/>
    </row>
    <row r="607577" spans="31:32" x14ac:dyDescent="0.25">
      <c r="AE607577" s="36"/>
      <c r="AF607577" s="36"/>
    </row>
    <row r="607673" spans="31:32" x14ac:dyDescent="0.25">
      <c r="AE607673" s="34"/>
      <c r="AF607673" s="34"/>
    </row>
    <row r="607681" spans="31:32" x14ac:dyDescent="0.25">
      <c r="AE607681" s="36"/>
      <c r="AF607681" s="36"/>
    </row>
    <row r="607777" spans="31:32" x14ac:dyDescent="0.25">
      <c r="AE607777" s="34"/>
      <c r="AF607777" s="34"/>
    </row>
    <row r="607785" spans="31:32" x14ac:dyDescent="0.25">
      <c r="AE607785" s="36"/>
      <c r="AF607785" s="36"/>
    </row>
    <row r="607881" spans="31:32" x14ac:dyDescent="0.25">
      <c r="AE607881" s="34"/>
      <c r="AF607881" s="34"/>
    </row>
    <row r="607889" spans="31:32" x14ac:dyDescent="0.25">
      <c r="AE607889" s="36"/>
      <c r="AF607889" s="36"/>
    </row>
    <row r="607985" spans="31:32" x14ac:dyDescent="0.25">
      <c r="AE607985" s="34"/>
      <c r="AF607985" s="34"/>
    </row>
    <row r="607993" spans="31:32" x14ac:dyDescent="0.25">
      <c r="AE607993" s="36"/>
      <c r="AF607993" s="36"/>
    </row>
    <row r="608089" spans="31:32" x14ac:dyDescent="0.25">
      <c r="AE608089" s="34"/>
      <c r="AF608089" s="34"/>
    </row>
    <row r="608097" spans="31:32" x14ac:dyDescent="0.25">
      <c r="AE608097" s="36"/>
      <c r="AF608097" s="36"/>
    </row>
    <row r="608193" spans="31:32" x14ac:dyDescent="0.25">
      <c r="AE608193" s="34"/>
      <c r="AF608193" s="34"/>
    </row>
    <row r="608201" spans="31:32" x14ac:dyDescent="0.25">
      <c r="AE608201" s="36"/>
      <c r="AF608201" s="36"/>
    </row>
    <row r="608297" spans="31:32" x14ac:dyDescent="0.25">
      <c r="AE608297" s="34"/>
      <c r="AF608297" s="34"/>
    </row>
    <row r="608305" spans="31:32" x14ac:dyDescent="0.25">
      <c r="AE608305" s="36"/>
      <c r="AF608305" s="36"/>
    </row>
    <row r="608401" spans="31:32" x14ac:dyDescent="0.25">
      <c r="AE608401" s="34"/>
      <c r="AF608401" s="34"/>
    </row>
    <row r="608409" spans="31:32" x14ac:dyDescent="0.25">
      <c r="AE608409" s="36"/>
      <c r="AF608409" s="36"/>
    </row>
    <row r="608505" spans="31:32" x14ac:dyDescent="0.25">
      <c r="AE608505" s="34"/>
      <c r="AF608505" s="34"/>
    </row>
    <row r="608513" spans="31:32" x14ac:dyDescent="0.25">
      <c r="AE608513" s="36"/>
      <c r="AF608513" s="36"/>
    </row>
    <row r="608609" spans="31:32" x14ac:dyDescent="0.25">
      <c r="AE608609" s="34"/>
      <c r="AF608609" s="34"/>
    </row>
    <row r="608617" spans="31:32" x14ac:dyDescent="0.25">
      <c r="AE608617" s="36"/>
      <c r="AF608617" s="36"/>
    </row>
    <row r="608713" spans="31:32" x14ac:dyDescent="0.25">
      <c r="AE608713" s="34"/>
      <c r="AF608713" s="34"/>
    </row>
    <row r="608721" spans="31:32" x14ac:dyDescent="0.25">
      <c r="AE608721" s="36"/>
      <c r="AF608721" s="36"/>
    </row>
    <row r="608817" spans="31:32" x14ac:dyDescent="0.25">
      <c r="AE608817" s="34"/>
      <c r="AF608817" s="34"/>
    </row>
    <row r="608825" spans="31:32" x14ac:dyDescent="0.25">
      <c r="AE608825" s="36"/>
      <c r="AF608825" s="36"/>
    </row>
    <row r="608921" spans="31:32" x14ac:dyDescent="0.25">
      <c r="AE608921" s="34"/>
      <c r="AF608921" s="34"/>
    </row>
    <row r="608929" spans="31:32" x14ac:dyDescent="0.25">
      <c r="AE608929" s="36"/>
      <c r="AF608929" s="36"/>
    </row>
    <row r="609025" spans="31:32" x14ac:dyDescent="0.25">
      <c r="AE609025" s="34"/>
      <c r="AF609025" s="34"/>
    </row>
    <row r="609033" spans="31:32" x14ac:dyDescent="0.25">
      <c r="AE609033" s="36"/>
      <c r="AF609033" s="36"/>
    </row>
    <row r="609129" spans="31:32" x14ac:dyDescent="0.25">
      <c r="AE609129" s="34"/>
      <c r="AF609129" s="34"/>
    </row>
    <row r="609137" spans="31:32" x14ac:dyDescent="0.25">
      <c r="AE609137" s="36"/>
      <c r="AF609137" s="36"/>
    </row>
    <row r="609233" spans="31:32" x14ac:dyDescent="0.25">
      <c r="AE609233" s="34"/>
      <c r="AF609233" s="34"/>
    </row>
    <row r="609241" spans="31:32" x14ac:dyDescent="0.25">
      <c r="AE609241" s="36"/>
      <c r="AF609241" s="36"/>
    </row>
    <row r="609337" spans="31:32" x14ac:dyDescent="0.25">
      <c r="AE609337" s="34"/>
      <c r="AF609337" s="34"/>
    </row>
    <row r="609345" spans="31:32" x14ac:dyDescent="0.25">
      <c r="AE609345" s="36"/>
      <c r="AF609345" s="36"/>
    </row>
    <row r="609441" spans="31:32" x14ac:dyDescent="0.25">
      <c r="AE609441" s="34"/>
      <c r="AF609441" s="34"/>
    </row>
    <row r="609449" spans="31:32" x14ac:dyDescent="0.25">
      <c r="AE609449" s="36"/>
      <c r="AF609449" s="36"/>
    </row>
    <row r="609545" spans="31:32" x14ac:dyDescent="0.25">
      <c r="AE609545" s="34"/>
      <c r="AF609545" s="34"/>
    </row>
    <row r="609553" spans="31:32" x14ac:dyDescent="0.25">
      <c r="AE609553" s="36"/>
      <c r="AF609553" s="36"/>
    </row>
    <row r="609649" spans="31:32" x14ac:dyDescent="0.25">
      <c r="AE609649" s="34"/>
      <c r="AF609649" s="34"/>
    </row>
    <row r="609657" spans="31:32" x14ac:dyDescent="0.25">
      <c r="AE609657" s="36"/>
      <c r="AF609657" s="36"/>
    </row>
    <row r="609753" spans="31:32" x14ac:dyDescent="0.25">
      <c r="AE609753" s="34"/>
      <c r="AF609753" s="34"/>
    </row>
    <row r="609761" spans="31:32" x14ac:dyDescent="0.25">
      <c r="AE609761" s="36"/>
      <c r="AF609761" s="36"/>
    </row>
    <row r="609857" spans="31:32" x14ac:dyDescent="0.25">
      <c r="AE609857" s="34"/>
      <c r="AF609857" s="34"/>
    </row>
    <row r="609865" spans="31:32" x14ac:dyDescent="0.25">
      <c r="AE609865" s="36"/>
      <c r="AF609865" s="36"/>
    </row>
    <row r="609961" spans="31:32" x14ac:dyDescent="0.25">
      <c r="AE609961" s="34"/>
      <c r="AF609961" s="34"/>
    </row>
    <row r="609969" spans="31:32" x14ac:dyDescent="0.25">
      <c r="AE609969" s="36"/>
      <c r="AF609969" s="36"/>
    </row>
    <row r="610065" spans="31:32" x14ac:dyDescent="0.25">
      <c r="AE610065" s="34"/>
      <c r="AF610065" s="34"/>
    </row>
    <row r="610073" spans="31:32" x14ac:dyDescent="0.25">
      <c r="AE610073" s="36"/>
      <c r="AF610073" s="36"/>
    </row>
    <row r="610169" spans="31:32" x14ac:dyDescent="0.25">
      <c r="AE610169" s="34"/>
      <c r="AF610169" s="34"/>
    </row>
    <row r="610177" spans="31:32" x14ac:dyDescent="0.25">
      <c r="AE610177" s="36"/>
      <c r="AF610177" s="36"/>
    </row>
    <row r="610273" spans="31:32" x14ac:dyDescent="0.25">
      <c r="AE610273" s="34"/>
      <c r="AF610273" s="34"/>
    </row>
    <row r="610281" spans="31:32" x14ac:dyDescent="0.25">
      <c r="AE610281" s="36"/>
      <c r="AF610281" s="36"/>
    </row>
    <row r="610377" spans="31:32" x14ac:dyDescent="0.25">
      <c r="AE610377" s="34"/>
      <c r="AF610377" s="34"/>
    </row>
    <row r="610385" spans="31:32" x14ac:dyDescent="0.25">
      <c r="AE610385" s="36"/>
      <c r="AF610385" s="36"/>
    </row>
    <row r="610481" spans="31:32" x14ac:dyDescent="0.25">
      <c r="AE610481" s="34"/>
      <c r="AF610481" s="34"/>
    </row>
    <row r="610489" spans="31:32" x14ac:dyDescent="0.25">
      <c r="AE610489" s="36"/>
      <c r="AF610489" s="36"/>
    </row>
    <row r="610585" spans="31:32" x14ac:dyDescent="0.25">
      <c r="AE610585" s="34"/>
      <c r="AF610585" s="34"/>
    </row>
    <row r="610593" spans="31:32" x14ac:dyDescent="0.25">
      <c r="AE610593" s="36"/>
      <c r="AF610593" s="36"/>
    </row>
    <row r="610689" spans="31:32" x14ac:dyDescent="0.25">
      <c r="AE610689" s="34"/>
      <c r="AF610689" s="34"/>
    </row>
    <row r="610697" spans="31:32" x14ac:dyDescent="0.25">
      <c r="AE610697" s="36"/>
      <c r="AF610697" s="36"/>
    </row>
    <row r="610793" spans="31:32" x14ac:dyDescent="0.25">
      <c r="AE610793" s="34"/>
      <c r="AF610793" s="34"/>
    </row>
    <row r="610801" spans="31:32" x14ac:dyDescent="0.25">
      <c r="AE610801" s="36"/>
      <c r="AF610801" s="36"/>
    </row>
    <row r="610897" spans="31:32" x14ac:dyDescent="0.25">
      <c r="AE610897" s="34"/>
      <c r="AF610897" s="34"/>
    </row>
    <row r="610905" spans="31:32" x14ac:dyDescent="0.25">
      <c r="AE610905" s="36"/>
      <c r="AF610905" s="36"/>
    </row>
    <row r="611001" spans="31:32" x14ac:dyDescent="0.25">
      <c r="AE611001" s="34"/>
      <c r="AF611001" s="34"/>
    </row>
    <row r="611009" spans="31:32" x14ac:dyDescent="0.25">
      <c r="AE611009" s="36"/>
      <c r="AF611009" s="36"/>
    </row>
    <row r="611105" spans="31:32" x14ac:dyDescent="0.25">
      <c r="AE611105" s="34"/>
      <c r="AF611105" s="34"/>
    </row>
    <row r="611113" spans="31:32" x14ac:dyDescent="0.25">
      <c r="AE611113" s="36"/>
      <c r="AF611113" s="36"/>
    </row>
    <row r="611209" spans="31:32" x14ac:dyDescent="0.25">
      <c r="AE611209" s="34"/>
      <c r="AF611209" s="34"/>
    </row>
    <row r="611217" spans="31:32" x14ac:dyDescent="0.25">
      <c r="AE611217" s="36"/>
      <c r="AF611217" s="36"/>
    </row>
    <row r="611313" spans="31:32" x14ac:dyDescent="0.25">
      <c r="AE611313" s="34"/>
      <c r="AF611313" s="34"/>
    </row>
    <row r="611321" spans="31:32" x14ac:dyDescent="0.25">
      <c r="AE611321" s="36"/>
      <c r="AF611321" s="36"/>
    </row>
    <row r="611417" spans="31:32" x14ac:dyDescent="0.25">
      <c r="AE611417" s="34"/>
      <c r="AF611417" s="34"/>
    </row>
    <row r="611425" spans="31:32" x14ac:dyDescent="0.25">
      <c r="AE611425" s="36"/>
      <c r="AF611425" s="36"/>
    </row>
    <row r="611521" spans="31:32" x14ac:dyDescent="0.25">
      <c r="AE611521" s="34"/>
      <c r="AF611521" s="34"/>
    </row>
    <row r="611529" spans="31:32" x14ac:dyDescent="0.25">
      <c r="AE611529" s="36"/>
      <c r="AF611529" s="36"/>
    </row>
    <row r="611625" spans="31:32" x14ac:dyDescent="0.25">
      <c r="AE611625" s="34"/>
      <c r="AF611625" s="34"/>
    </row>
    <row r="611633" spans="31:32" x14ac:dyDescent="0.25">
      <c r="AE611633" s="36"/>
      <c r="AF611633" s="36"/>
    </row>
    <row r="611729" spans="31:32" x14ac:dyDescent="0.25">
      <c r="AE611729" s="34"/>
      <c r="AF611729" s="34"/>
    </row>
    <row r="611737" spans="31:32" x14ac:dyDescent="0.25">
      <c r="AE611737" s="36"/>
      <c r="AF611737" s="36"/>
    </row>
    <row r="611833" spans="31:32" x14ac:dyDescent="0.25">
      <c r="AE611833" s="34"/>
      <c r="AF611833" s="34"/>
    </row>
    <row r="611841" spans="31:32" x14ac:dyDescent="0.25">
      <c r="AE611841" s="36"/>
      <c r="AF611841" s="36"/>
    </row>
    <row r="611937" spans="31:32" x14ac:dyDescent="0.25">
      <c r="AE611937" s="34"/>
      <c r="AF611937" s="34"/>
    </row>
    <row r="611945" spans="31:32" x14ac:dyDescent="0.25">
      <c r="AE611945" s="36"/>
      <c r="AF611945" s="36"/>
    </row>
    <row r="612041" spans="31:32" x14ac:dyDescent="0.25">
      <c r="AE612041" s="34"/>
      <c r="AF612041" s="34"/>
    </row>
    <row r="612049" spans="31:32" x14ac:dyDescent="0.25">
      <c r="AE612049" s="36"/>
      <c r="AF612049" s="36"/>
    </row>
    <row r="612145" spans="31:32" x14ac:dyDescent="0.25">
      <c r="AE612145" s="34"/>
      <c r="AF612145" s="34"/>
    </row>
    <row r="612153" spans="31:32" x14ac:dyDescent="0.25">
      <c r="AE612153" s="36"/>
      <c r="AF612153" s="36"/>
    </row>
    <row r="612249" spans="31:32" x14ac:dyDescent="0.25">
      <c r="AE612249" s="34"/>
      <c r="AF612249" s="34"/>
    </row>
    <row r="612257" spans="31:32" x14ac:dyDescent="0.25">
      <c r="AE612257" s="36"/>
      <c r="AF612257" s="36"/>
    </row>
    <row r="612353" spans="31:32" x14ac:dyDescent="0.25">
      <c r="AE612353" s="34"/>
      <c r="AF612353" s="34"/>
    </row>
    <row r="612361" spans="31:32" x14ac:dyDescent="0.25">
      <c r="AE612361" s="36"/>
      <c r="AF612361" s="36"/>
    </row>
    <row r="612457" spans="31:32" x14ac:dyDescent="0.25">
      <c r="AE612457" s="34"/>
      <c r="AF612457" s="34"/>
    </row>
    <row r="612465" spans="31:32" x14ac:dyDescent="0.25">
      <c r="AE612465" s="36"/>
      <c r="AF612465" s="36"/>
    </row>
    <row r="612561" spans="31:32" x14ac:dyDescent="0.25">
      <c r="AE612561" s="34"/>
      <c r="AF612561" s="34"/>
    </row>
    <row r="612569" spans="31:32" x14ac:dyDescent="0.25">
      <c r="AE612569" s="36"/>
      <c r="AF612569" s="36"/>
    </row>
    <row r="612665" spans="31:32" x14ac:dyDescent="0.25">
      <c r="AE612665" s="34"/>
      <c r="AF612665" s="34"/>
    </row>
    <row r="612673" spans="31:32" x14ac:dyDescent="0.25">
      <c r="AE612673" s="36"/>
      <c r="AF612673" s="36"/>
    </row>
    <row r="612769" spans="31:32" x14ac:dyDescent="0.25">
      <c r="AE612769" s="34"/>
      <c r="AF612769" s="34"/>
    </row>
    <row r="612777" spans="31:32" x14ac:dyDescent="0.25">
      <c r="AE612777" s="36"/>
      <c r="AF612777" s="36"/>
    </row>
    <row r="612873" spans="31:32" x14ac:dyDescent="0.25">
      <c r="AE612873" s="34"/>
      <c r="AF612873" s="34"/>
    </row>
    <row r="612881" spans="31:32" x14ac:dyDescent="0.25">
      <c r="AE612881" s="36"/>
      <c r="AF612881" s="36"/>
    </row>
    <row r="612977" spans="31:32" x14ac:dyDescent="0.25">
      <c r="AE612977" s="34"/>
      <c r="AF612977" s="34"/>
    </row>
    <row r="612985" spans="31:32" x14ac:dyDescent="0.25">
      <c r="AE612985" s="36"/>
      <c r="AF612985" s="36"/>
    </row>
    <row r="613081" spans="31:32" x14ac:dyDescent="0.25">
      <c r="AE613081" s="34"/>
      <c r="AF613081" s="34"/>
    </row>
    <row r="613089" spans="31:32" x14ac:dyDescent="0.25">
      <c r="AE613089" s="36"/>
      <c r="AF613089" s="36"/>
    </row>
    <row r="613185" spans="31:32" x14ac:dyDescent="0.25">
      <c r="AE613185" s="34"/>
      <c r="AF613185" s="34"/>
    </row>
    <row r="613193" spans="31:32" x14ac:dyDescent="0.25">
      <c r="AE613193" s="36"/>
      <c r="AF613193" s="36"/>
    </row>
    <row r="613289" spans="31:32" x14ac:dyDescent="0.25">
      <c r="AE613289" s="34"/>
      <c r="AF613289" s="34"/>
    </row>
    <row r="613297" spans="31:32" x14ac:dyDescent="0.25">
      <c r="AE613297" s="36"/>
      <c r="AF613297" s="36"/>
    </row>
    <row r="613393" spans="31:32" x14ac:dyDescent="0.25">
      <c r="AE613393" s="34"/>
      <c r="AF613393" s="34"/>
    </row>
    <row r="613401" spans="31:32" x14ac:dyDescent="0.25">
      <c r="AE613401" s="36"/>
      <c r="AF613401" s="36"/>
    </row>
    <row r="613497" spans="31:32" x14ac:dyDescent="0.25">
      <c r="AE613497" s="34"/>
      <c r="AF613497" s="34"/>
    </row>
    <row r="613505" spans="31:32" x14ac:dyDescent="0.25">
      <c r="AE613505" s="36"/>
      <c r="AF613505" s="36"/>
    </row>
    <row r="613601" spans="31:32" x14ac:dyDescent="0.25">
      <c r="AE613601" s="34"/>
      <c r="AF613601" s="34"/>
    </row>
    <row r="613609" spans="31:32" x14ac:dyDescent="0.25">
      <c r="AE613609" s="36"/>
      <c r="AF613609" s="36"/>
    </row>
    <row r="613705" spans="31:32" x14ac:dyDescent="0.25">
      <c r="AE613705" s="34"/>
      <c r="AF613705" s="34"/>
    </row>
    <row r="613713" spans="31:32" x14ac:dyDescent="0.25">
      <c r="AE613713" s="36"/>
      <c r="AF613713" s="36"/>
    </row>
    <row r="613809" spans="31:32" x14ac:dyDescent="0.25">
      <c r="AE613809" s="34"/>
      <c r="AF613809" s="34"/>
    </row>
    <row r="613817" spans="31:32" x14ac:dyDescent="0.25">
      <c r="AE613817" s="36"/>
      <c r="AF613817" s="36"/>
    </row>
    <row r="613913" spans="31:32" x14ac:dyDescent="0.25">
      <c r="AE613913" s="34"/>
      <c r="AF613913" s="34"/>
    </row>
    <row r="613921" spans="31:32" x14ac:dyDescent="0.25">
      <c r="AE613921" s="36"/>
      <c r="AF613921" s="36"/>
    </row>
    <row r="614017" spans="31:32" x14ac:dyDescent="0.25">
      <c r="AE614017" s="34"/>
      <c r="AF614017" s="34"/>
    </row>
    <row r="614025" spans="31:32" x14ac:dyDescent="0.25">
      <c r="AE614025" s="36"/>
      <c r="AF614025" s="36"/>
    </row>
    <row r="614121" spans="31:32" x14ac:dyDescent="0.25">
      <c r="AE614121" s="34"/>
      <c r="AF614121" s="34"/>
    </row>
    <row r="614129" spans="31:32" x14ac:dyDescent="0.25">
      <c r="AE614129" s="36"/>
      <c r="AF614129" s="36"/>
    </row>
    <row r="614225" spans="31:32" x14ac:dyDescent="0.25">
      <c r="AE614225" s="34"/>
      <c r="AF614225" s="34"/>
    </row>
    <row r="614233" spans="31:32" x14ac:dyDescent="0.25">
      <c r="AE614233" s="36"/>
      <c r="AF614233" s="36"/>
    </row>
    <row r="614329" spans="31:32" x14ac:dyDescent="0.25">
      <c r="AE614329" s="34"/>
      <c r="AF614329" s="34"/>
    </row>
    <row r="614337" spans="31:32" x14ac:dyDescent="0.25">
      <c r="AE614337" s="36"/>
      <c r="AF614337" s="36"/>
    </row>
    <row r="614433" spans="31:32" x14ac:dyDescent="0.25">
      <c r="AE614433" s="34"/>
      <c r="AF614433" s="34"/>
    </row>
    <row r="614441" spans="31:32" x14ac:dyDescent="0.25">
      <c r="AE614441" s="36"/>
      <c r="AF614441" s="36"/>
    </row>
    <row r="614537" spans="31:32" x14ac:dyDescent="0.25">
      <c r="AE614537" s="34"/>
      <c r="AF614537" s="34"/>
    </row>
    <row r="614545" spans="31:32" x14ac:dyDescent="0.25">
      <c r="AE614545" s="36"/>
      <c r="AF614545" s="36"/>
    </row>
    <row r="614641" spans="31:32" x14ac:dyDescent="0.25">
      <c r="AE614641" s="34"/>
      <c r="AF614641" s="34"/>
    </row>
    <row r="614649" spans="31:32" x14ac:dyDescent="0.25">
      <c r="AE614649" s="36"/>
      <c r="AF614649" s="36"/>
    </row>
    <row r="614745" spans="31:32" x14ac:dyDescent="0.25">
      <c r="AE614745" s="34"/>
      <c r="AF614745" s="34"/>
    </row>
    <row r="614753" spans="31:32" x14ac:dyDescent="0.25">
      <c r="AE614753" s="36"/>
      <c r="AF614753" s="36"/>
    </row>
    <row r="614849" spans="31:32" x14ac:dyDescent="0.25">
      <c r="AE614849" s="34"/>
      <c r="AF614849" s="34"/>
    </row>
    <row r="614857" spans="31:32" x14ac:dyDescent="0.25">
      <c r="AE614857" s="36"/>
      <c r="AF614857" s="36"/>
    </row>
    <row r="614953" spans="31:32" x14ac:dyDescent="0.25">
      <c r="AE614953" s="34"/>
      <c r="AF614953" s="34"/>
    </row>
    <row r="614961" spans="31:32" x14ac:dyDescent="0.25">
      <c r="AE614961" s="36"/>
      <c r="AF614961" s="36"/>
    </row>
    <row r="615057" spans="31:32" x14ac:dyDescent="0.25">
      <c r="AE615057" s="34"/>
      <c r="AF615057" s="34"/>
    </row>
    <row r="615065" spans="31:32" x14ac:dyDescent="0.25">
      <c r="AE615065" s="36"/>
      <c r="AF615065" s="36"/>
    </row>
    <row r="615161" spans="31:32" x14ac:dyDescent="0.25">
      <c r="AE615161" s="34"/>
      <c r="AF615161" s="34"/>
    </row>
    <row r="615169" spans="31:32" x14ac:dyDescent="0.25">
      <c r="AE615169" s="36"/>
      <c r="AF615169" s="36"/>
    </row>
    <row r="615265" spans="31:32" x14ac:dyDescent="0.25">
      <c r="AE615265" s="34"/>
      <c r="AF615265" s="34"/>
    </row>
    <row r="615273" spans="31:32" x14ac:dyDescent="0.25">
      <c r="AE615273" s="36"/>
      <c r="AF615273" s="36"/>
    </row>
    <row r="615369" spans="31:32" x14ac:dyDescent="0.25">
      <c r="AE615369" s="34"/>
      <c r="AF615369" s="34"/>
    </row>
    <row r="615377" spans="31:32" x14ac:dyDescent="0.25">
      <c r="AE615377" s="36"/>
      <c r="AF615377" s="36"/>
    </row>
    <row r="615473" spans="31:32" x14ac:dyDescent="0.25">
      <c r="AE615473" s="34"/>
      <c r="AF615473" s="34"/>
    </row>
    <row r="615481" spans="31:32" x14ac:dyDescent="0.25">
      <c r="AE615481" s="36"/>
      <c r="AF615481" s="36"/>
    </row>
    <row r="615577" spans="31:32" x14ac:dyDescent="0.25">
      <c r="AE615577" s="34"/>
      <c r="AF615577" s="34"/>
    </row>
    <row r="615585" spans="31:32" x14ac:dyDescent="0.25">
      <c r="AE615585" s="36"/>
      <c r="AF615585" s="36"/>
    </row>
    <row r="615681" spans="31:32" x14ac:dyDescent="0.25">
      <c r="AE615681" s="34"/>
      <c r="AF615681" s="34"/>
    </row>
    <row r="615689" spans="31:32" x14ac:dyDescent="0.25">
      <c r="AE615689" s="36"/>
      <c r="AF615689" s="36"/>
    </row>
    <row r="615785" spans="31:32" x14ac:dyDescent="0.25">
      <c r="AE615785" s="34"/>
      <c r="AF615785" s="34"/>
    </row>
    <row r="615793" spans="31:32" x14ac:dyDescent="0.25">
      <c r="AE615793" s="36"/>
      <c r="AF615793" s="36"/>
    </row>
    <row r="615889" spans="31:32" x14ac:dyDescent="0.25">
      <c r="AE615889" s="34"/>
      <c r="AF615889" s="34"/>
    </row>
    <row r="615897" spans="31:32" x14ac:dyDescent="0.25">
      <c r="AE615897" s="36"/>
      <c r="AF615897" s="36"/>
    </row>
    <row r="615993" spans="31:32" x14ac:dyDescent="0.25">
      <c r="AE615993" s="34"/>
      <c r="AF615993" s="34"/>
    </row>
    <row r="616001" spans="31:32" x14ac:dyDescent="0.25">
      <c r="AE616001" s="36"/>
      <c r="AF616001" s="36"/>
    </row>
    <row r="616097" spans="31:32" x14ac:dyDescent="0.25">
      <c r="AE616097" s="34"/>
      <c r="AF616097" s="34"/>
    </row>
    <row r="616105" spans="31:32" x14ac:dyDescent="0.25">
      <c r="AE616105" s="36"/>
      <c r="AF616105" s="36"/>
    </row>
    <row r="616201" spans="31:32" x14ac:dyDescent="0.25">
      <c r="AE616201" s="34"/>
      <c r="AF616201" s="34"/>
    </row>
    <row r="616209" spans="31:32" x14ac:dyDescent="0.25">
      <c r="AE616209" s="36"/>
      <c r="AF616209" s="36"/>
    </row>
    <row r="616305" spans="31:32" x14ac:dyDescent="0.25">
      <c r="AE616305" s="34"/>
      <c r="AF616305" s="34"/>
    </row>
    <row r="616313" spans="31:32" x14ac:dyDescent="0.25">
      <c r="AE616313" s="36"/>
      <c r="AF616313" s="36"/>
    </row>
    <row r="616409" spans="31:32" x14ac:dyDescent="0.25">
      <c r="AE616409" s="34"/>
      <c r="AF616409" s="34"/>
    </row>
    <row r="616417" spans="31:32" x14ac:dyDescent="0.25">
      <c r="AE616417" s="36"/>
      <c r="AF616417" s="36"/>
    </row>
    <row r="616513" spans="31:32" x14ac:dyDescent="0.25">
      <c r="AE616513" s="34"/>
      <c r="AF616513" s="34"/>
    </row>
    <row r="616521" spans="31:32" x14ac:dyDescent="0.25">
      <c r="AE616521" s="36"/>
      <c r="AF616521" s="36"/>
    </row>
    <row r="616617" spans="31:32" x14ac:dyDescent="0.25">
      <c r="AE616617" s="34"/>
      <c r="AF616617" s="34"/>
    </row>
    <row r="616625" spans="31:32" x14ac:dyDescent="0.25">
      <c r="AE616625" s="36"/>
      <c r="AF616625" s="36"/>
    </row>
    <row r="616721" spans="31:32" x14ac:dyDescent="0.25">
      <c r="AE616721" s="34"/>
      <c r="AF616721" s="34"/>
    </row>
    <row r="616729" spans="31:32" x14ac:dyDescent="0.25">
      <c r="AE616729" s="36"/>
      <c r="AF616729" s="36"/>
    </row>
    <row r="616825" spans="31:32" x14ac:dyDescent="0.25">
      <c r="AE616825" s="34"/>
      <c r="AF616825" s="34"/>
    </row>
    <row r="616833" spans="31:32" x14ac:dyDescent="0.25">
      <c r="AE616833" s="36"/>
      <c r="AF616833" s="36"/>
    </row>
    <row r="616929" spans="31:32" x14ac:dyDescent="0.25">
      <c r="AE616929" s="34"/>
      <c r="AF616929" s="34"/>
    </row>
    <row r="616937" spans="31:32" x14ac:dyDescent="0.25">
      <c r="AE616937" s="36"/>
      <c r="AF616937" s="36"/>
    </row>
    <row r="617033" spans="31:32" x14ac:dyDescent="0.25">
      <c r="AE617033" s="34"/>
      <c r="AF617033" s="34"/>
    </row>
    <row r="617041" spans="31:32" x14ac:dyDescent="0.25">
      <c r="AE617041" s="36"/>
      <c r="AF617041" s="36"/>
    </row>
    <row r="617137" spans="31:32" x14ac:dyDescent="0.25">
      <c r="AE617137" s="34"/>
      <c r="AF617137" s="34"/>
    </row>
    <row r="617145" spans="31:32" x14ac:dyDescent="0.25">
      <c r="AE617145" s="36"/>
      <c r="AF617145" s="36"/>
    </row>
    <row r="617241" spans="31:32" x14ac:dyDescent="0.25">
      <c r="AE617241" s="34"/>
      <c r="AF617241" s="34"/>
    </row>
    <row r="617249" spans="31:32" x14ac:dyDescent="0.25">
      <c r="AE617249" s="36"/>
      <c r="AF617249" s="36"/>
    </row>
    <row r="617345" spans="31:32" x14ac:dyDescent="0.25">
      <c r="AE617345" s="34"/>
      <c r="AF617345" s="34"/>
    </row>
    <row r="617353" spans="31:32" x14ac:dyDescent="0.25">
      <c r="AE617353" s="36"/>
      <c r="AF617353" s="36"/>
    </row>
    <row r="617449" spans="31:32" x14ac:dyDescent="0.25">
      <c r="AE617449" s="34"/>
      <c r="AF617449" s="34"/>
    </row>
    <row r="617457" spans="31:32" x14ac:dyDescent="0.25">
      <c r="AE617457" s="36"/>
      <c r="AF617457" s="36"/>
    </row>
    <row r="617553" spans="31:32" x14ac:dyDescent="0.25">
      <c r="AE617553" s="34"/>
      <c r="AF617553" s="34"/>
    </row>
    <row r="617561" spans="31:32" x14ac:dyDescent="0.25">
      <c r="AE617561" s="36"/>
      <c r="AF617561" s="36"/>
    </row>
    <row r="617657" spans="31:32" x14ac:dyDescent="0.25">
      <c r="AE617657" s="34"/>
      <c r="AF617657" s="34"/>
    </row>
    <row r="617665" spans="31:32" x14ac:dyDescent="0.25">
      <c r="AE617665" s="36"/>
      <c r="AF617665" s="36"/>
    </row>
    <row r="617761" spans="31:32" x14ac:dyDescent="0.25">
      <c r="AE617761" s="34"/>
      <c r="AF617761" s="34"/>
    </row>
    <row r="617769" spans="31:32" x14ac:dyDescent="0.25">
      <c r="AE617769" s="36"/>
      <c r="AF617769" s="36"/>
    </row>
    <row r="617865" spans="31:32" x14ac:dyDescent="0.25">
      <c r="AE617865" s="34"/>
      <c r="AF617865" s="34"/>
    </row>
    <row r="617873" spans="31:32" x14ac:dyDescent="0.25">
      <c r="AE617873" s="36"/>
      <c r="AF617873" s="36"/>
    </row>
    <row r="617969" spans="31:32" x14ac:dyDescent="0.25">
      <c r="AE617969" s="34"/>
      <c r="AF617969" s="34"/>
    </row>
    <row r="617977" spans="31:32" x14ac:dyDescent="0.25">
      <c r="AE617977" s="36"/>
      <c r="AF617977" s="36"/>
    </row>
    <row r="618073" spans="31:32" x14ac:dyDescent="0.25">
      <c r="AE618073" s="34"/>
      <c r="AF618073" s="34"/>
    </row>
    <row r="618081" spans="31:32" x14ac:dyDescent="0.25">
      <c r="AE618081" s="36"/>
      <c r="AF618081" s="36"/>
    </row>
    <row r="618177" spans="31:32" x14ac:dyDescent="0.25">
      <c r="AE618177" s="34"/>
      <c r="AF618177" s="34"/>
    </row>
    <row r="618185" spans="31:32" x14ac:dyDescent="0.25">
      <c r="AE618185" s="36"/>
      <c r="AF618185" s="36"/>
    </row>
    <row r="618281" spans="31:32" x14ac:dyDescent="0.25">
      <c r="AE618281" s="34"/>
      <c r="AF618281" s="34"/>
    </row>
    <row r="618289" spans="31:32" x14ac:dyDescent="0.25">
      <c r="AE618289" s="36"/>
      <c r="AF618289" s="36"/>
    </row>
    <row r="618385" spans="31:32" x14ac:dyDescent="0.25">
      <c r="AE618385" s="34"/>
      <c r="AF618385" s="34"/>
    </row>
    <row r="618393" spans="31:32" x14ac:dyDescent="0.25">
      <c r="AE618393" s="36"/>
      <c r="AF618393" s="36"/>
    </row>
    <row r="618489" spans="31:32" x14ac:dyDescent="0.25">
      <c r="AE618489" s="34"/>
      <c r="AF618489" s="34"/>
    </row>
    <row r="618497" spans="31:32" x14ac:dyDescent="0.25">
      <c r="AE618497" s="36"/>
      <c r="AF618497" s="36"/>
    </row>
    <row r="618593" spans="31:32" x14ac:dyDescent="0.25">
      <c r="AE618593" s="34"/>
      <c r="AF618593" s="34"/>
    </row>
    <row r="618601" spans="31:32" x14ac:dyDescent="0.25">
      <c r="AE618601" s="36"/>
      <c r="AF618601" s="36"/>
    </row>
    <row r="618697" spans="31:32" x14ac:dyDescent="0.25">
      <c r="AE618697" s="34"/>
      <c r="AF618697" s="34"/>
    </row>
    <row r="618705" spans="31:32" x14ac:dyDescent="0.25">
      <c r="AE618705" s="36"/>
      <c r="AF618705" s="36"/>
    </row>
    <row r="618801" spans="31:32" x14ac:dyDescent="0.25">
      <c r="AE618801" s="34"/>
      <c r="AF618801" s="34"/>
    </row>
    <row r="618809" spans="31:32" x14ac:dyDescent="0.25">
      <c r="AE618809" s="36"/>
      <c r="AF618809" s="36"/>
    </row>
    <row r="618905" spans="31:32" x14ac:dyDescent="0.25">
      <c r="AE618905" s="34"/>
      <c r="AF618905" s="34"/>
    </row>
    <row r="618913" spans="31:32" x14ac:dyDescent="0.25">
      <c r="AE618913" s="36"/>
      <c r="AF618913" s="36"/>
    </row>
    <row r="619009" spans="31:32" x14ac:dyDescent="0.25">
      <c r="AE619009" s="34"/>
      <c r="AF619009" s="34"/>
    </row>
    <row r="619017" spans="31:32" x14ac:dyDescent="0.25">
      <c r="AE619017" s="36"/>
      <c r="AF619017" s="36"/>
    </row>
    <row r="619113" spans="31:32" x14ac:dyDescent="0.25">
      <c r="AE619113" s="34"/>
      <c r="AF619113" s="34"/>
    </row>
    <row r="619121" spans="31:32" x14ac:dyDescent="0.25">
      <c r="AE619121" s="36"/>
      <c r="AF619121" s="36"/>
    </row>
    <row r="619217" spans="31:32" x14ac:dyDescent="0.25">
      <c r="AE619217" s="34"/>
      <c r="AF619217" s="34"/>
    </row>
    <row r="619225" spans="31:32" x14ac:dyDescent="0.25">
      <c r="AE619225" s="36"/>
      <c r="AF619225" s="36"/>
    </row>
    <row r="619321" spans="31:32" x14ac:dyDescent="0.25">
      <c r="AE619321" s="34"/>
      <c r="AF619321" s="34"/>
    </row>
    <row r="619329" spans="31:32" x14ac:dyDescent="0.25">
      <c r="AE619329" s="36"/>
      <c r="AF619329" s="36"/>
    </row>
    <row r="619425" spans="31:32" x14ac:dyDescent="0.25">
      <c r="AE619425" s="34"/>
      <c r="AF619425" s="34"/>
    </row>
    <row r="619433" spans="31:32" x14ac:dyDescent="0.25">
      <c r="AE619433" s="36"/>
      <c r="AF619433" s="36"/>
    </row>
    <row r="619529" spans="31:32" x14ac:dyDescent="0.25">
      <c r="AE619529" s="34"/>
      <c r="AF619529" s="34"/>
    </row>
    <row r="619537" spans="31:32" x14ac:dyDescent="0.25">
      <c r="AE619537" s="36"/>
      <c r="AF619537" s="36"/>
    </row>
    <row r="619633" spans="31:32" x14ac:dyDescent="0.25">
      <c r="AE619633" s="34"/>
      <c r="AF619633" s="34"/>
    </row>
    <row r="619641" spans="31:32" x14ac:dyDescent="0.25">
      <c r="AE619641" s="36"/>
      <c r="AF619641" s="36"/>
    </row>
    <row r="619737" spans="31:32" x14ac:dyDescent="0.25">
      <c r="AE619737" s="34"/>
      <c r="AF619737" s="34"/>
    </row>
    <row r="619745" spans="31:32" x14ac:dyDescent="0.25">
      <c r="AE619745" s="36"/>
      <c r="AF619745" s="36"/>
    </row>
    <row r="619841" spans="31:32" x14ac:dyDescent="0.25">
      <c r="AE619841" s="34"/>
      <c r="AF619841" s="34"/>
    </row>
    <row r="619849" spans="31:32" x14ac:dyDescent="0.25">
      <c r="AE619849" s="36"/>
      <c r="AF619849" s="36"/>
    </row>
    <row r="619945" spans="31:32" x14ac:dyDescent="0.25">
      <c r="AE619945" s="34"/>
      <c r="AF619945" s="34"/>
    </row>
    <row r="619953" spans="31:32" x14ac:dyDescent="0.25">
      <c r="AE619953" s="36"/>
      <c r="AF619953" s="36"/>
    </row>
    <row r="620049" spans="31:32" x14ac:dyDescent="0.25">
      <c r="AE620049" s="34"/>
      <c r="AF620049" s="34"/>
    </row>
    <row r="620057" spans="31:32" x14ac:dyDescent="0.25">
      <c r="AE620057" s="36"/>
      <c r="AF620057" s="36"/>
    </row>
    <row r="620153" spans="31:32" x14ac:dyDescent="0.25">
      <c r="AE620153" s="34"/>
      <c r="AF620153" s="34"/>
    </row>
    <row r="620161" spans="31:32" x14ac:dyDescent="0.25">
      <c r="AE620161" s="36"/>
      <c r="AF620161" s="36"/>
    </row>
    <row r="620257" spans="31:32" x14ac:dyDescent="0.25">
      <c r="AE620257" s="34"/>
      <c r="AF620257" s="34"/>
    </row>
    <row r="620265" spans="31:32" x14ac:dyDescent="0.25">
      <c r="AE620265" s="36"/>
      <c r="AF620265" s="36"/>
    </row>
    <row r="620361" spans="31:32" x14ac:dyDescent="0.25">
      <c r="AE620361" s="34"/>
      <c r="AF620361" s="34"/>
    </row>
    <row r="620369" spans="31:32" x14ac:dyDescent="0.25">
      <c r="AE620369" s="36"/>
      <c r="AF620369" s="36"/>
    </row>
    <row r="620465" spans="31:32" x14ac:dyDescent="0.25">
      <c r="AE620465" s="34"/>
      <c r="AF620465" s="34"/>
    </row>
    <row r="620473" spans="31:32" x14ac:dyDescent="0.25">
      <c r="AE620473" s="36"/>
      <c r="AF620473" s="36"/>
    </row>
    <row r="620569" spans="31:32" x14ac:dyDescent="0.25">
      <c r="AE620569" s="34"/>
      <c r="AF620569" s="34"/>
    </row>
    <row r="620577" spans="31:32" x14ac:dyDescent="0.25">
      <c r="AE620577" s="36"/>
      <c r="AF620577" s="36"/>
    </row>
    <row r="620673" spans="31:32" x14ac:dyDescent="0.25">
      <c r="AE620673" s="34"/>
      <c r="AF620673" s="34"/>
    </row>
    <row r="620681" spans="31:32" x14ac:dyDescent="0.25">
      <c r="AE620681" s="36"/>
      <c r="AF620681" s="36"/>
    </row>
    <row r="620777" spans="31:32" x14ac:dyDescent="0.25">
      <c r="AE620777" s="34"/>
      <c r="AF620777" s="34"/>
    </row>
    <row r="620785" spans="31:32" x14ac:dyDescent="0.25">
      <c r="AE620785" s="36"/>
      <c r="AF620785" s="36"/>
    </row>
    <row r="620881" spans="31:32" x14ac:dyDescent="0.25">
      <c r="AE620881" s="34"/>
      <c r="AF620881" s="34"/>
    </row>
    <row r="620889" spans="31:32" x14ac:dyDescent="0.25">
      <c r="AE620889" s="36"/>
      <c r="AF620889" s="36"/>
    </row>
    <row r="620985" spans="31:32" x14ac:dyDescent="0.25">
      <c r="AE620985" s="34"/>
      <c r="AF620985" s="34"/>
    </row>
    <row r="620993" spans="31:32" x14ac:dyDescent="0.25">
      <c r="AE620993" s="36"/>
      <c r="AF620993" s="36"/>
    </row>
    <row r="621089" spans="31:32" x14ac:dyDescent="0.25">
      <c r="AE621089" s="34"/>
      <c r="AF621089" s="34"/>
    </row>
    <row r="621097" spans="31:32" x14ac:dyDescent="0.25">
      <c r="AE621097" s="36"/>
      <c r="AF621097" s="36"/>
    </row>
    <row r="621193" spans="31:32" x14ac:dyDescent="0.25">
      <c r="AE621193" s="34"/>
      <c r="AF621193" s="34"/>
    </row>
    <row r="621201" spans="31:32" x14ac:dyDescent="0.25">
      <c r="AE621201" s="36"/>
      <c r="AF621201" s="36"/>
    </row>
    <row r="621297" spans="31:32" x14ac:dyDescent="0.25">
      <c r="AE621297" s="34"/>
      <c r="AF621297" s="34"/>
    </row>
    <row r="621305" spans="31:32" x14ac:dyDescent="0.25">
      <c r="AE621305" s="36"/>
      <c r="AF621305" s="36"/>
    </row>
    <row r="621401" spans="31:32" x14ac:dyDescent="0.25">
      <c r="AE621401" s="34"/>
      <c r="AF621401" s="34"/>
    </row>
    <row r="621409" spans="31:32" x14ac:dyDescent="0.25">
      <c r="AE621409" s="36"/>
      <c r="AF621409" s="36"/>
    </row>
    <row r="621505" spans="31:32" x14ac:dyDescent="0.25">
      <c r="AE621505" s="34"/>
      <c r="AF621505" s="34"/>
    </row>
    <row r="621513" spans="31:32" x14ac:dyDescent="0.25">
      <c r="AE621513" s="36"/>
      <c r="AF621513" s="36"/>
    </row>
    <row r="621609" spans="31:32" x14ac:dyDescent="0.25">
      <c r="AE621609" s="34"/>
      <c r="AF621609" s="34"/>
    </row>
    <row r="621617" spans="31:32" x14ac:dyDescent="0.25">
      <c r="AE621617" s="36"/>
      <c r="AF621617" s="36"/>
    </row>
    <row r="621713" spans="31:32" x14ac:dyDescent="0.25">
      <c r="AE621713" s="34"/>
      <c r="AF621713" s="34"/>
    </row>
    <row r="621721" spans="31:32" x14ac:dyDescent="0.25">
      <c r="AE621721" s="36"/>
      <c r="AF621721" s="36"/>
    </row>
    <row r="621817" spans="31:32" x14ac:dyDescent="0.25">
      <c r="AE621817" s="34"/>
      <c r="AF621817" s="34"/>
    </row>
    <row r="621825" spans="31:32" x14ac:dyDescent="0.25">
      <c r="AE621825" s="36"/>
      <c r="AF621825" s="36"/>
    </row>
    <row r="621921" spans="31:32" x14ac:dyDescent="0.25">
      <c r="AE621921" s="34"/>
      <c r="AF621921" s="34"/>
    </row>
    <row r="621929" spans="31:32" x14ac:dyDescent="0.25">
      <c r="AE621929" s="36"/>
      <c r="AF621929" s="36"/>
    </row>
    <row r="622025" spans="31:32" x14ac:dyDescent="0.25">
      <c r="AE622025" s="34"/>
      <c r="AF622025" s="34"/>
    </row>
    <row r="622033" spans="31:32" x14ac:dyDescent="0.25">
      <c r="AE622033" s="36"/>
      <c r="AF622033" s="36"/>
    </row>
    <row r="622129" spans="31:32" x14ac:dyDescent="0.25">
      <c r="AE622129" s="34"/>
      <c r="AF622129" s="34"/>
    </row>
    <row r="622137" spans="31:32" x14ac:dyDescent="0.25">
      <c r="AE622137" s="36"/>
      <c r="AF622137" s="36"/>
    </row>
    <row r="622233" spans="31:32" x14ac:dyDescent="0.25">
      <c r="AE622233" s="34"/>
      <c r="AF622233" s="34"/>
    </row>
    <row r="622241" spans="31:32" x14ac:dyDescent="0.25">
      <c r="AE622241" s="36"/>
      <c r="AF622241" s="36"/>
    </row>
    <row r="622337" spans="31:32" x14ac:dyDescent="0.25">
      <c r="AE622337" s="34"/>
      <c r="AF622337" s="34"/>
    </row>
    <row r="622345" spans="31:32" x14ac:dyDescent="0.25">
      <c r="AE622345" s="36"/>
      <c r="AF622345" s="36"/>
    </row>
    <row r="622441" spans="31:32" x14ac:dyDescent="0.25">
      <c r="AE622441" s="34"/>
      <c r="AF622441" s="34"/>
    </row>
    <row r="622449" spans="31:32" x14ac:dyDescent="0.25">
      <c r="AE622449" s="36"/>
      <c r="AF622449" s="36"/>
    </row>
    <row r="622545" spans="31:32" x14ac:dyDescent="0.25">
      <c r="AE622545" s="34"/>
      <c r="AF622545" s="34"/>
    </row>
    <row r="622553" spans="31:32" x14ac:dyDescent="0.25">
      <c r="AE622553" s="36"/>
      <c r="AF622553" s="36"/>
    </row>
    <row r="622649" spans="31:32" x14ac:dyDescent="0.25">
      <c r="AE622649" s="34"/>
      <c r="AF622649" s="34"/>
    </row>
    <row r="622657" spans="31:32" x14ac:dyDescent="0.25">
      <c r="AE622657" s="36"/>
      <c r="AF622657" s="36"/>
    </row>
    <row r="622753" spans="31:32" x14ac:dyDescent="0.25">
      <c r="AE622753" s="34"/>
      <c r="AF622753" s="34"/>
    </row>
    <row r="622761" spans="31:32" x14ac:dyDescent="0.25">
      <c r="AE622761" s="36"/>
      <c r="AF622761" s="36"/>
    </row>
    <row r="622857" spans="31:32" x14ac:dyDescent="0.25">
      <c r="AE622857" s="34"/>
      <c r="AF622857" s="34"/>
    </row>
    <row r="622865" spans="31:32" x14ac:dyDescent="0.25">
      <c r="AE622865" s="36"/>
      <c r="AF622865" s="36"/>
    </row>
    <row r="622961" spans="31:32" x14ac:dyDescent="0.25">
      <c r="AE622961" s="34"/>
      <c r="AF622961" s="34"/>
    </row>
    <row r="622969" spans="31:32" x14ac:dyDescent="0.25">
      <c r="AE622969" s="36"/>
      <c r="AF622969" s="36"/>
    </row>
    <row r="623065" spans="31:32" x14ac:dyDescent="0.25">
      <c r="AE623065" s="34"/>
      <c r="AF623065" s="34"/>
    </row>
    <row r="623073" spans="31:32" x14ac:dyDescent="0.25">
      <c r="AE623073" s="36"/>
      <c r="AF623073" s="36"/>
    </row>
    <row r="623169" spans="31:32" x14ac:dyDescent="0.25">
      <c r="AE623169" s="34"/>
      <c r="AF623169" s="34"/>
    </row>
    <row r="623177" spans="31:32" x14ac:dyDescent="0.25">
      <c r="AE623177" s="36"/>
      <c r="AF623177" s="36"/>
    </row>
    <row r="623273" spans="31:32" x14ac:dyDescent="0.25">
      <c r="AE623273" s="34"/>
      <c r="AF623273" s="34"/>
    </row>
    <row r="623281" spans="31:32" x14ac:dyDescent="0.25">
      <c r="AE623281" s="36"/>
      <c r="AF623281" s="36"/>
    </row>
    <row r="623377" spans="31:32" x14ac:dyDescent="0.25">
      <c r="AE623377" s="34"/>
      <c r="AF623377" s="34"/>
    </row>
    <row r="623385" spans="31:32" x14ac:dyDescent="0.25">
      <c r="AE623385" s="36"/>
      <c r="AF623385" s="36"/>
    </row>
    <row r="623481" spans="31:32" x14ac:dyDescent="0.25">
      <c r="AE623481" s="34"/>
      <c r="AF623481" s="34"/>
    </row>
    <row r="623489" spans="31:32" x14ac:dyDescent="0.25">
      <c r="AE623489" s="36"/>
      <c r="AF623489" s="36"/>
    </row>
    <row r="623585" spans="31:32" x14ac:dyDescent="0.25">
      <c r="AE623585" s="34"/>
      <c r="AF623585" s="34"/>
    </row>
    <row r="623593" spans="31:32" x14ac:dyDescent="0.25">
      <c r="AE623593" s="36"/>
      <c r="AF623593" s="36"/>
    </row>
    <row r="623689" spans="31:32" x14ac:dyDescent="0.25">
      <c r="AE623689" s="34"/>
      <c r="AF623689" s="34"/>
    </row>
    <row r="623697" spans="31:32" x14ac:dyDescent="0.25">
      <c r="AE623697" s="36"/>
      <c r="AF623697" s="36"/>
    </row>
    <row r="623793" spans="31:32" x14ac:dyDescent="0.25">
      <c r="AE623793" s="34"/>
      <c r="AF623793" s="34"/>
    </row>
    <row r="623801" spans="31:32" x14ac:dyDescent="0.25">
      <c r="AE623801" s="36"/>
      <c r="AF623801" s="36"/>
    </row>
    <row r="623897" spans="31:32" x14ac:dyDescent="0.25">
      <c r="AE623897" s="34"/>
      <c r="AF623897" s="34"/>
    </row>
    <row r="623905" spans="31:32" x14ac:dyDescent="0.25">
      <c r="AE623905" s="36"/>
      <c r="AF623905" s="36"/>
    </row>
    <row r="624001" spans="31:32" x14ac:dyDescent="0.25">
      <c r="AE624001" s="34"/>
      <c r="AF624001" s="34"/>
    </row>
    <row r="624009" spans="31:32" x14ac:dyDescent="0.25">
      <c r="AE624009" s="36"/>
      <c r="AF624009" s="36"/>
    </row>
    <row r="624105" spans="31:32" x14ac:dyDescent="0.25">
      <c r="AE624105" s="34"/>
      <c r="AF624105" s="34"/>
    </row>
    <row r="624113" spans="31:32" x14ac:dyDescent="0.25">
      <c r="AE624113" s="36"/>
      <c r="AF624113" s="36"/>
    </row>
    <row r="624209" spans="31:32" x14ac:dyDescent="0.25">
      <c r="AE624209" s="34"/>
      <c r="AF624209" s="34"/>
    </row>
    <row r="624217" spans="31:32" x14ac:dyDescent="0.25">
      <c r="AE624217" s="36"/>
      <c r="AF624217" s="36"/>
    </row>
    <row r="624313" spans="31:32" x14ac:dyDescent="0.25">
      <c r="AE624313" s="34"/>
      <c r="AF624313" s="34"/>
    </row>
    <row r="624321" spans="31:32" x14ac:dyDescent="0.25">
      <c r="AE624321" s="36"/>
      <c r="AF624321" s="36"/>
    </row>
    <row r="624417" spans="31:32" x14ac:dyDescent="0.25">
      <c r="AE624417" s="34"/>
      <c r="AF624417" s="34"/>
    </row>
    <row r="624425" spans="31:32" x14ac:dyDescent="0.25">
      <c r="AE624425" s="36"/>
      <c r="AF624425" s="36"/>
    </row>
    <row r="624521" spans="31:32" x14ac:dyDescent="0.25">
      <c r="AE624521" s="34"/>
      <c r="AF624521" s="34"/>
    </row>
    <row r="624529" spans="31:32" x14ac:dyDescent="0.25">
      <c r="AE624529" s="36"/>
      <c r="AF624529" s="36"/>
    </row>
    <row r="624625" spans="31:32" x14ac:dyDescent="0.25">
      <c r="AE624625" s="34"/>
      <c r="AF624625" s="34"/>
    </row>
    <row r="624633" spans="31:32" x14ac:dyDescent="0.25">
      <c r="AE624633" s="36"/>
      <c r="AF624633" s="36"/>
    </row>
    <row r="624729" spans="31:32" x14ac:dyDescent="0.25">
      <c r="AE624729" s="34"/>
      <c r="AF624729" s="34"/>
    </row>
    <row r="624737" spans="31:32" x14ac:dyDescent="0.25">
      <c r="AE624737" s="36"/>
      <c r="AF624737" s="36"/>
    </row>
    <row r="624833" spans="31:32" x14ac:dyDescent="0.25">
      <c r="AE624833" s="34"/>
      <c r="AF624833" s="34"/>
    </row>
    <row r="624841" spans="31:32" x14ac:dyDescent="0.25">
      <c r="AE624841" s="36"/>
      <c r="AF624841" s="36"/>
    </row>
    <row r="624937" spans="31:32" x14ac:dyDescent="0.25">
      <c r="AE624937" s="34"/>
      <c r="AF624937" s="34"/>
    </row>
    <row r="624945" spans="31:32" x14ac:dyDescent="0.25">
      <c r="AE624945" s="36"/>
      <c r="AF624945" s="36"/>
    </row>
    <row r="625041" spans="31:32" x14ac:dyDescent="0.25">
      <c r="AE625041" s="34"/>
      <c r="AF625041" s="34"/>
    </row>
    <row r="625049" spans="31:32" x14ac:dyDescent="0.25">
      <c r="AE625049" s="36"/>
      <c r="AF625049" s="36"/>
    </row>
    <row r="625145" spans="31:32" x14ac:dyDescent="0.25">
      <c r="AE625145" s="34"/>
      <c r="AF625145" s="34"/>
    </row>
    <row r="625153" spans="31:32" x14ac:dyDescent="0.25">
      <c r="AE625153" s="36"/>
      <c r="AF625153" s="36"/>
    </row>
    <row r="625249" spans="31:32" x14ac:dyDescent="0.25">
      <c r="AE625249" s="34"/>
      <c r="AF625249" s="34"/>
    </row>
    <row r="625257" spans="31:32" x14ac:dyDescent="0.25">
      <c r="AE625257" s="36"/>
      <c r="AF625257" s="36"/>
    </row>
    <row r="625353" spans="31:32" x14ac:dyDescent="0.25">
      <c r="AE625353" s="34"/>
      <c r="AF625353" s="34"/>
    </row>
    <row r="625361" spans="31:32" x14ac:dyDescent="0.25">
      <c r="AE625361" s="36"/>
      <c r="AF625361" s="36"/>
    </row>
    <row r="625457" spans="31:32" x14ac:dyDescent="0.25">
      <c r="AE625457" s="34"/>
      <c r="AF625457" s="34"/>
    </row>
    <row r="625465" spans="31:32" x14ac:dyDescent="0.25">
      <c r="AE625465" s="36"/>
      <c r="AF625465" s="36"/>
    </row>
    <row r="625561" spans="31:32" x14ac:dyDescent="0.25">
      <c r="AE625561" s="34"/>
      <c r="AF625561" s="34"/>
    </row>
    <row r="625569" spans="31:32" x14ac:dyDescent="0.25">
      <c r="AE625569" s="36"/>
      <c r="AF625569" s="36"/>
    </row>
    <row r="625665" spans="31:32" x14ac:dyDescent="0.25">
      <c r="AE625665" s="34"/>
      <c r="AF625665" s="34"/>
    </row>
    <row r="625673" spans="31:32" x14ac:dyDescent="0.25">
      <c r="AE625673" s="36"/>
      <c r="AF625673" s="36"/>
    </row>
    <row r="625769" spans="31:32" x14ac:dyDescent="0.25">
      <c r="AE625769" s="34"/>
      <c r="AF625769" s="34"/>
    </row>
    <row r="625777" spans="31:32" x14ac:dyDescent="0.25">
      <c r="AE625777" s="36"/>
      <c r="AF625777" s="36"/>
    </row>
    <row r="625873" spans="31:32" x14ac:dyDescent="0.25">
      <c r="AE625873" s="34"/>
      <c r="AF625873" s="34"/>
    </row>
    <row r="625881" spans="31:32" x14ac:dyDescent="0.25">
      <c r="AE625881" s="36"/>
      <c r="AF625881" s="36"/>
    </row>
    <row r="625977" spans="31:32" x14ac:dyDescent="0.25">
      <c r="AE625977" s="34"/>
      <c r="AF625977" s="34"/>
    </row>
    <row r="625985" spans="31:32" x14ac:dyDescent="0.25">
      <c r="AE625985" s="36"/>
      <c r="AF625985" s="36"/>
    </row>
    <row r="626081" spans="31:32" x14ac:dyDescent="0.25">
      <c r="AE626081" s="34"/>
      <c r="AF626081" s="34"/>
    </row>
    <row r="626089" spans="31:32" x14ac:dyDescent="0.25">
      <c r="AE626089" s="36"/>
      <c r="AF626089" s="36"/>
    </row>
    <row r="626185" spans="31:32" x14ac:dyDescent="0.25">
      <c r="AE626185" s="34"/>
      <c r="AF626185" s="34"/>
    </row>
    <row r="626193" spans="31:32" x14ac:dyDescent="0.25">
      <c r="AE626193" s="36"/>
      <c r="AF626193" s="36"/>
    </row>
    <row r="626289" spans="31:32" x14ac:dyDescent="0.25">
      <c r="AE626289" s="34"/>
      <c r="AF626289" s="34"/>
    </row>
    <row r="626297" spans="31:32" x14ac:dyDescent="0.25">
      <c r="AE626297" s="36"/>
      <c r="AF626297" s="36"/>
    </row>
    <row r="626393" spans="31:32" x14ac:dyDescent="0.25">
      <c r="AE626393" s="34"/>
      <c r="AF626393" s="34"/>
    </row>
    <row r="626401" spans="31:32" x14ac:dyDescent="0.25">
      <c r="AE626401" s="36"/>
      <c r="AF626401" s="36"/>
    </row>
    <row r="626497" spans="31:32" x14ac:dyDescent="0.25">
      <c r="AE626497" s="34"/>
      <c r="AF626497" s="34"/>
    </row>
    <row r="626505" spans="31:32" x14ac:dyDescent="0.25">
      <c r="AE626505" s="36"/>
      <c r="AF626505" s="36"/>
    </row>
    <row r="626601" spans="31:32" x14ac:dyDescent="0.25">
      <c r="AE626601" s="34"/>
      <c r="AF626601" s="34"/>
    </row>
    <row r="626609" spans="31:32" x14ac:dyDescent="0.25">
      <c r="AE626609" s="36"/>
      <c r="AF626609" s="36"/>
    </row>
    <row r="626705" spans="31:32" x14ac:dyDescent="0.25">
      <c r="AE626705" s="34"/>
      <c r="AF626705" s="34"/>
    </row>
    <row r="626713" spans="31:32" x14ac:dyDescent="0.25">
      <c r="AE626713" s="36"/>
      <c r="AF626713" s="36"/>
    </row>
    <row r="626809" spans="31:32" x14ac:dyDescent="0.25">
      <c r="AE626809" s="34"/>
      <c r="AF626809" s="34"/>
    </row>
    <row r="626817" spans="31:32" x14ac:dyDescent="0.25">
      <c r="AE626817" s="36"/>
      <c r="AF626817" s="36"/>
    </row>
    <row r="626913" spans="31:32" x14ac:dyDescent="0.25">
      <c r="AE626913" s="34"/>
      <c r="AF626913" s="34"/>
    </row>
    <row r="626921" spans="31:32" x14ac:dyDescent="0.25">
      <c r="AE626921" s="36"/>
      <c r="AF626921" s="36"/>
    </row>
    <row r="627017" spans="31:32" x14ac:dyDescent="0.25">
      <c r="AE627017" s="34"/>
      <c r="AF627017" s="34"/>
    </row>
    <row r="627025" spans="31:32" x14ac:dyDescent="0.25">
      <c r="AE627025" s="36"/>
      <c r="AF627025" s="36"/>
    </row>
    <row r="627121" spans="31:32" x14ac:dyDescent="0.25">
      <c r="AE627121" s="34"/>
      <c r="AF627121" s="34"/>
    </row>
    <row r="627129" spans="31:32" x14ac:dyDescent="0.25">
      <c r="AE627129" s="36"/>
      <c r="AF627129" s="36"/>
    </row>
    <row r="627225" spans="31:32" x14ac:dyDescent="0.25">
      <c r="AE627225" s="34"/>
      <c r="AF627225" s="34"/>
    </row>
    <row r="627233" spans="31:32" x14ac:dyDescent="0.25">
      <c r="AE627233" s="36"/>
      <c r="AF627233" s="36"/>
    </row>
    <row r="627329" spans="31:32" x14ac:dyDescent="0.25">
      <c r="AE627329" s="34"/>
      <c r="AF627329" s="34"/>
    </row>
    <row r="627337" spans="31:32" x14ac:dyDescent="0.25">
      <c r="AE627337" s="36"/>
      <c r="AF627337" s="36"/>
    </row>
    <row r="627433" spans="31:32" x14ac:dyDescent="0.25">
      <c r="AE627433" s="34"/>
      <c r="AF627433" s="34"/>
    </row>
    <row r="627441" spans="31:32" x14ac:dyDescent="0.25">
      <c r="AE627441" s="36"/>
      <c r="AF627441" s="36"/>
    </row>
    <row r="627537" spans="31:32" x14ac:dyDescent="0.25">
      <c r="AE627537" s="34"/>
      <c r="AF627537" s="34"/>
    </row>
    <row r="627545" spans="31:32" x14ac:dyDescent="0.25">
      <c r="AE627545" s="36"/>
      <c r="AF627545" s="36"/>
    </row>
    <row r="627641" spans="31:32" x14ac:dyDescent="0.25">
      <c r="AE627641" s="34"/>
      <c r="AF627641" s="34"/>
    </row>
    <row r="627649" spans="31:32" x14ac:dyDescent="0.25">
      <c r="AE627649" s="36"/>
      <c r="AF627649" s="36"/>
    </row>
    <row r="627745" spans="31:32" x14ac:dyDescent="0.25">
      <c r="AE627745" s="34"/>
      <c r="AF627745" s="34"/>
    </row>
    <row r="627753" spans="31:32" x14ac:dyDescent="0.25">
      <c r="AE627753" s="36"/>
      <c r="AF627753" s="36"/>
    </row>
    <row r="627849" spans="31:32" x14ac:dyDescent="0.25">
      <c r="AE627849" s="34"/>
      <c r="AF627849" s="34"/>
    </row>
    <row r="627857" spans="31:32" x14ac:dyDescent="0.25">
      <c r="AE627857" s="36"/>
      <c r="AF627857" s="36"/>
    </row>
    <row r="627953" spans="31:32" x14ac:dyDescent="0.25">
      <c r="AE627953" s="34"/>
      <c r="AF627953" s="34"/>
    </row>
    <row r="627961" spans="31:32" x14ac:dyDescent="0.25">
      <c r="AE627961" s="36"/>
      <c r="AF627961" s="36"/>
    </row>
    <row r="628057" spans="31:32" x14ac:dyDescent="0.25">
      <c r="AE628057" s="34"/>
      <c r="AF628057" s="34"/>
    </row>
    <row r="628065" spans="31:32" x14ac:dyDescent="0.25">
      <c r="AE628065" s="36"/>
      <c r="AF628065" s="36"/>
    </row>
    <row r="628161" spans="31:32" x14ac:dyDescent="0.25">
      <c r="AE628161" s="34"/>
      <c r="AF628161" s="34"/>
    </row>
    <row r="628169" spans="31:32" x14ac:dyDescent="0.25">
      <c r="AE628169" s="36"/>
      <c r="AF628169" s="36"/>
    </row>
    <row r="628265" spans="31:32" x14ac:dyDescent="0.25">
      <c r="AE628265" s="34"/>
      <c r="AF628265" s="34"/>
    </row>
    <row r="628273" spans="31:32" x14ac:dyDescent="0.25">
      <c r="AE628273" s="36"/>
      <c r="AF628273" s="36"/>
    </row>
    <row r="628369" spans="31:32" x14ac:dyDescent="0.25">
      <c r="AE628369" s="34"/>
      <c r="AF628369" s="34"/>
    </row>
    <row r="628377" spans="31:32" x14ac:dyDescent="0.25">
      <c r="AE628377" s="36"/>
      <c r="AF628377" s="36"/>
    </row>
    <row r="628473" spans="31:32" x14ac:dyDescent="0.25">
      <c r="AE628473" s="34"/>
      <c r="AF628473" s="34"/>
    </row>
    <row r="628481" spans="31:32" x14ac:dyDescent="0.25">
      <c r="AE628481" s="36"/>
      <c r="AF628481" s="36"/>
    </row>
    <row r="628577" spans="31:32" x14ac:dyDescent="0.25">
      <c r="AE628577" s="34"/>
      <c r="AF628577" s="34"/>
    </row>
    <row r="628585" spans="31:32" x14ac:dyDescent="0.25">
      <c r="AE628585" s="36"/>
      <c r="AF628585" s="36"/>
    </row>
    <row r="628681" spans="31:32" x14ac:dyDescent="0.25">
      <c r="AE628681" s="34"/>
      <c r="AF628681" s="34"/>
    </row>
    <row r="628689" spans="31:32" x14ac:dyDescent="0.25">
      <c r="AE628689" s="36"/>
      <c r="AF628689" s="36"/>
    </row>
    <row r="628785" spans="31:32" x14ac:dyDescent="0.25">
      <c r="AE628785" s="34"/>
      <c r="AF628785" s="34"/>
    </row>
    <row r="628793" spans="31:32" x14ac:dyDescent="0.25">
      <c r="AE628793" s="36"/>
      <c r="AF628793" s="36"/>
    </row>
    <row r="628889" spans="31:32" x14ac:dyDescent="0.25">
      <c r="AE628889" s="34"/>
      <c r="AF628889" s="34"/>
    </row>
    <row r="628897" spans="31:32" x14ac:dyDescent="0.25">
      <c r="AE628897" s="36"/>
      <c r="AF628897" s="36"/>
    </row>
    <row r="628993" spans="31:32" x14ac:dyDescent="0.25">
      <c r="AE628993" s="34"/>
      <c r="AF628993" s="34"/>
    </row>
    <row r="629001" spans="31:32" x14ac:dyDescent="0.25">
      <c r="AE629001" s="36"/>
      <c r="AF629001" s="36"/>
    </row>
    <row r="629097" spans="31:32" x14ac:dyDescent="0.25">
      <c r="AE629097" s="34"/>
      <c r="AF629097" s="34"/>
    </row>
    <row r="629105" spans="31:32" x14ac:dyDescent="0.25">
      <c r="AE629105" s="36"/>
      <c r="AF629105" s="36"/>
    </row>
    <row r="629201" spans="31:32" x14ac:dyDescent="0.25">
      <c r="AE629201" s="34"/>
      <c r="AF629201" s="34"/>
    </row>
    <row r="629209" spans="31:32" x14ac:dyDescent="0.25">
      <c r="AE629209" s="36"/>
      <c r="AF629209" s="36"/>
    </row>
    <row r="629305" spans="31:32" x14ac:dyDescent="0.25">
      <c r="AE629305" s="34"/>
      <c r="AF629305" s="34"/>
    </row>
    <row r="629313" spans="31:32" x14ac:dyDescent="0.25">
      <c r="AE629313" s="36"/>
      <c r="AF629313" s="36"/>
    </row>
    <row r="629409" spans="31:32" x14ac:dyDescent="0.25">
      <c r="AE629409" s="34"/>
      <c r="AF629409" s="34"/>
    </row>
    <row r="629417" spans="31:32" x14ac:dyDescent="0.25">
      <c r="AE629417" s="36"/>
      <c r="AF629417" s="36"/>
    </row>
    <row r="629513" spans="31:32" x14ac:dyDescent="0.25">
      <c r="AE629513" s="34"/>
      <c r="AF629513" s="34"/>
    </row>
    <row r="629521" spans="31:32" x14ac:dyDescent="0.25">
      <c r="AE629521" s="36"/>
      <c r="AF629521" s="36"/>
    </row>
    <row r="629617" spans="31:32" x14ac:dyDescent="0.25">
      <c r="AE629617" s="34"/>
      <c r="AF629617" s="34"/>
    </row>
    <row r="629625" spans="31:32" x14ac:dyDescent="0.25">
      <c r="AE629625" s="36"/>
      <c r="AF629625" s="36"/>
    </row>
    <row r="629721" spans="31:32" x14ac:dyDescent="0.25">
      <c r="AE629721" s="34"/>
      <c r="AF629721" s="34"/>
    </row>
    <row r="629729" spans="31:32" x14ac:dyDescent="0.25">
      <c r="AE629729" s="36"/>
      <c r="AF629729" s="36"/>
    </row>
    <row r="629825" spans="31:32" x14ac:dyDescent="0.25">
      <c r="AE629825" s="34"/>
      <c r="AF629825" s="34"/>
    </row>
    <row r="629833" spans="31:32" x14ac:dyDescent="0.25">
      <c r="AE629833" s="36"/>
      <c r="AF629833" s="36"/>
    </row>
    <row r="629929" spans="31:32" x14ac:dyDescent="0.25">
      <c r="AE629929" s="34"/>
      <c r="AF629929" s="34"/>
    </row>
    <row r="629937" spans="31:32" x14ac:dyDescent="0.25">
      <c r="AE629937" s="36"/>
      <c r="AF629937" s="36"/>
    </row>
    <row r="630033" spans="31:32" x14ac:dyDescent="0.25">
      <c r="AE630033" s="34"/>
      <c r="AF630033" s="34"/>
    </row>
    <row r="630041" spans="31:32" x14ac:dyDescent="0.25">
      <c r="AE630041" s="36"/>
      <c r="AF630041" s="36"/>
    </row>
    <row r="630137" spans="31:32" x14ac:dyDescent="0.25">
      <c r="AE630137" s="34"/>
      <c r="AF630137" s="34"/>
    </row>
    <row r="630145" spans="31:32" x14ac:dyDescent="0.25">
      <c r="AE630145" s="36"/>
      <c r="AF630145" s="36"/>
    </row>
    <row r="630241" spans="31:32" x14ac:dyDescent="0.25">
      <c r="AE630241" s="34"/>
      <c r="AF630241" s="34"/>
    </row>
    <row r="630249" spans="31:32" x14ac:dyDescent="0.25">
      <c r="AE630249" s="36"/>
      <c r="AF630249" s="36"/>
    </row>
    <row r="630345" spans="31:32" x14ac:dyDescent="0.25">
      <c r="AE630345" s="34"/>
      <c r="AF630345" s="34"/>
    </row>
    <row r="630353" spans="31:32" x14ac:dyDescent="0.25">
      <c r="AE630353" s="36"/>
      <c r="AF630353" s="36"/>
    </row>
    <row r="630449" spans="31:32" x14ac:dyDescent="0.25">
      <c r="AE630449" s="34"/>
      <c r="AF630449" s="34"/>
    </row>
    <row r="630457" spans="31:32" x14ac:dyDescent="0.25">
      <c r="AE630457" s="36"/>
      <c r="AF630457" s="36"/>
    </row>
    <row r="630553" spans="31:32" x14ac:dyDescent="0.25">
      <c r="AE630553" s="34"/>
      <c r="AF630553" s="34"/>
    </row>
    <row r="630561" spans="31:32" x14ac:dyDescent="0.25">
      <c r="AE630561" s="36"/>
      <c r="AF630561" s="36"/>
    </row>
    <row r="630657" spans="31:32" x14ac:dyDescent="0.25">
      <c r="AE630657" s="34"/>
      <c r="AF630657" s="34"/>
    </row>
    <row r="630665" spans="31:32" x14ac:dyDescent="0.25">
      <c r="AE630665" s="36"/>
      <c r="AF630665" s="36"/>
    </row>
    <row r="630761" spans="31:32" x14ac:dyDescent="0.25">
      <c r="AE630761" s="34"/>
      <c r="AF630761" s="34"/>
    </row>
    <row r="630769" spans="31:32" x14ac:dyDescent="0.25">
      <c r="AE630769" s="36"/>
      <c r="AF630769" s="36"/>
    </row>
    <row r="630865" spans="31:32" x14ac:dyDescent="0.25">
      <c r="AE630865" s="34"/>
      <c r="AF630865" s="34"/>
    </row>
    <row r="630873" spans="31:32" x14ac:dyDescent="0.25">
      <c r="AE630873" s="36"/>
      <c r="AF630873" s="36"/>
    </row>
    <row r="630969" spans="31:32" x14ac:dyDescent="0.25">
      <c r="AE630969" s="34"/>
      <c r="AF630969" s="34"/>
    </row>
    <row r="630977" spans="31:32" x14ac:dyDescent="0.25">
      <c r="AE630977" s="36"/>
      <c r="AF630977" s="36"/>
    </row>
    <row r="631073" spans="31:32" x14ac:dyDescent="0.25">
      <c r="AE631073" s="34"/>
      <c r="AF631073" s="34"/>
    </row>
    <row r="631081" spans="31:32" x14ac:dyDescent="0.25">
      <c r="AE631081" s="36"/>
      <c r="AF631081" s="36"/>
    </row>
    <row r="631177" spans="31:32" x14ac:dyDescent="0.25">
      <c r="AE631177" s="34"/>
      <c r="AF631177" s="34"/>
    </row>
    <row r="631185" spans="31:32" x14ac:dyDescent="0.25">
      <c r="AE631185" s="36"/>
      <c r="AF631185" s="36"/>
    </row>
    <row r="631281" spans="31:32" x14ac:dyDescent="0.25">
      <c r="AE631281" s="34"/>
      <c r="AF631281" s="34"/>
    </row>
    <row r="631289" spans="31:32" x14ac:dyDescent="0.25">
      <c r="AE631289" s="36"/>
      <c r="AF631289" s="36"/>
    </row>
    <row r="631385" spans="31:32" x14ac:dyDescent="0.25">
      <c r="AE631385" s="34"/>
      <c r="AF631385" s="34"/>
    </row>
    <row r="631393" spans="31:32" x14ac:dyDescent="0.25">
      <c r="AE631393" s="36"/>
      <c r="AF631393" s="36"/>
    </row>
    <row r="631489" spans="31:32" x14ac:dyDescent="0.25">
      <c r="AE631489" s="34"/>
      <c r="AF631489" s="34"/>
    </row>
    <row r="631497" spans="31:32" x14ac:dyDescent="0.25">
      <c r="AE631497" s="36"/>
      <c r="AF631497" s="36"/>
    </row>
    <row r="631593" spans="31:32" x14ac:dyDescent="0.25">
      <c r="AE631593" s="34"/>
      <c r="AF631593" s="34"/>
    </row>
    <row r="631601" spans="31:32" x14ac:dyDescent="0.25">
      <c r="AE631601" s="36"/>
      <c r="AF631601" s="36"/>
    </row>
    <row r="631697" spans="31:32" x14ac:dyDescent="0.25">
      <c r="AE631697" s="34"/>
      <c r="AF631697" s="34"/>
    </row>
    <row r="631705" spans="31:32" x14ac:dyDescent="0.25">
      <c r="AE631705" s="36"/>
      <c r="AF631705" s="36"/>
    </row>
    <row r="631801" spans="31:32" x14ac:dyDescent="0.25">
      <c r="AE631801" s="34"/>
      <c r="AF631801" s="34"/>
    </row>
    <row r="631809" spans="31:32" x14ac:dyDescent="0.25">
      <c r="AE631809" s="36"/>
      <c r="AF631809" s="36"/>
    </row>
    <row r="631905" spans="31:32" x14ac:dyDescent="0.25">
      <c r="AE631905" s="34"/>
      <c r="AF631905" s="34"/>
    </row>
    <row r="631913" spans="31:32" x14ac:dyDescent="0.25">
      <c r="AE631913" s="36"/>
      <c r="AF631913" s="36"/>
    </row>
    <row r="632009" spans="31:32" x14ac:dyDescent="0.25">
      <c r="AE632009" s="34"/>
      <c r="AF632009" s="34"/>
    </row>
    <row r="632017" spans="31:32" x14ac:dyDescent="0.25">
      <c r="AE632017" s="36"/>
      <c r="AF632017" s="36"/>
    </row>
    <row r="632113" spans="31:32" x14ac:dyDescent="0.25">
      <c r="AE632113" s="34"/>
      <c r="AF632113" s="34"/>
    </row>
    <row r="632121" spans="31:32" x14ac:dyDescent="0.25">
      <c r="AE632121" s="36"/>
      <c r="AF632121" s="36"/>
    </row>
    <row r="632217" spans="31:32" x14ac:dyDescent="0.25">
      <c r="AE632217" s="34"/>
      <c r="AF632217" s="34"/>
    </row>
    <row r="632225" spans="31:32" x14ac:dyDescent="0.25">
      <c r="AE632225" s="36"/>
      <c r="AF632225" s="36"/>
    </row>
    <row r="632321" spans="31:32" x14ac:dyDescent="0.25">
      <c r="AE632321" s="34"/>
      <c r="AF632321" s="34"/>
    </row>
    <row r="632329" spans="31:32" x14ac:dyDescent="0.25">
      <c r="AE632329" s="36"/>
      <c r="AF632329" s="36"/>
    </row>
    <row r="632425" spans="31:32" x14ac:dyDescent="0.25">
      <c r="AE632425" s="34"/>
      <c r="AF632425" s="34"/>
    </row>
    <row r="632433" spans="31:32" x14ac:dyDescent="0.25">
      <c r="AE632433" s="36"/>
      <c r="AF632433" s="36"/>
    </row>
    <row r="632529" spans="31:32" x14ac:dyDescent="0.25">
      <c r="AE632529" s="34"/>
      <c r="AF632529" s="34"/>
    </row>
    <row r="632537" spans="31:32" x14ac:dyDescent="0.25">
      <c r="AE632537" s="36"/>
      <c r="AF632537" s="36"/>
    </row>
    <row r="632633" spans="31:32" x14ac:dyDescent="0.25">
      <c r="AE632633" s="34"/>
      <c r="AF632633" s="34"/>
    </row>
    <row r="632641" spans="31:32" x14ac:dyDescent="0.25">
      <c r="AE632641" s="36"/>
      <c r="AF632641" s="36"/>
    </row>
    <row r="632737" spans="31:32" x14ac:dyDescent="0.25">
      <c r="AE632737" s="34"/>
      <c r="AF632737" s="34"/>
    </row>
    <row r="632745" spans="31:32" x14ac:dyDescent="0.25">
      <c r="AE632745" s="36"/>
      <c r="AF632745" s="36"/>
    </row>
    <row r="632841" spans="31:32" x14ac:dyDescent="0.25">
      <c r="AE632841" s="34"/>
      <c r="AF632841" s="34"/>
    </row>
    <row r="632849" spans="31:32" x14ac:dyDescent="0.25">
      <c r="AE632849" s="36"/>
      <c r="AF632849" s="36"/>
    </row>
    <row r="632945" spans="31:32" x14ac:dyDescent="0.25">
      <c r="AE632945" s="34"/>
      <c r="AF632945" s="34"/>
    </row>
    <row r="632953" spans="31:32" x14ac:dyDescent="0.25">
      <c r="AE632953" s="36"/>
      <c r="AF632953" s="36"/>
    </row>
    <row r="633049" spans="31:32" x14ac:dyDescent="0.25">
      <c r="AE633049" s="34"/>
      <c r="AF633049" s="34"/>
    </row>
    <row r="633057" spans="31:32" x14ac:dyDescent="0.25">
      <c r="AE633057" s="36"/>
      <c r="AF633057" s="36"/>
    </row>
    <row r="633153" spans="31:32" x14ac:dyDescent="0.25">
      <c r="AE633153" s="34"/>
      <c r="AF633153" s="34"/>
    </row>
    <row r="633161" spans="31:32" x14ac:dyDescent="0.25">
      <c r="AE633161" s="36"/>
      <c r="AF633161" s="36"/>
    </row>
    <row r="633257" spans="31:32" x14ac:dyDescent="0.25">
      <c r="AE633257" s="34"/>
      <c r="AF633257" s="34"/>
    </row>
    <row r="633265" spans="31:32" x14ac:dyDescent="0.25">
      <c r="AE633265" s="36"/>
      <c r="AF633265" s="36"/>
    </row>
    <row r="633361" spans="31:32" x14ac:dyDescent="0.25">
      <c r="AE633361" s="34"/>
      <c r="AF633361" s="34"/>
    </row>
    <row r="633369" spans="31:32" x14ac:dyDescent="0.25">
      <c r="AE633369" s="36"/>
      <c r="AF633369" s="36"/>
    </row>
    <row r="633465" spans="31:32" x14ac:dyDescent="0.25">
      <c r="AE633465" s="34"/>
      <c r="AF633465" s="34"/>
    </row>
    <row r="633473" spans="31:32" x14ac:dyDescent="0.25">
      <c r="AE633473" s="36"/>
      <c r="AF633473" s="36"/>
    </row>
    <row r="633569" spans="31:32" x14ac:dyDescent="0.25">
      <c r="AE633569" s="34"/>
      <c r="AF633569" s="34"/>
    </row>
    <row r="633577" spans="31:32" x14ac:dyDescent="0.25">
      <c r="AE633577" s="36"/>
      <c r="AF633577" s="36"/>
    </row>
    <row r="633673" spans="31:32" x14ac:dyDescent="0.25">
      <c r="AE633673" s="34"/>
      <c r="AF633673" s="34"/>
    </row>
    <row r="633681" spans="31:32" x14ac:dyDescent="0.25">
      <c r="AE633681" s="36"/>
      <c r="AF633681" s="36"/>
    </row>
    <row r="633777" spans="31:32" x14ac:dyDescent="0.25">
      <c r="AE633777" s="34"/>
      <c r="AF633777" s="34"/>
    </row>
    <row r="633785" spans="31:32" x14ac:dyDescent="0.25">
      <c r="AE633785" s="36"/>
      <c r="AF633785" s="36"/>
    </row>
    <row r="633881" spans="31:32" x14ac:dyDescent="0.25">
      <c r="AE633881" s="34"/>
      <c r="AF633881" s="34"/>
    </row>
    <row r="633889" spans="31:32" x14ac:dyDescent="0.25">
      <c r="AE633889" s="36"/>
      <c r="AF633889" s="36"/>
    </row>
    <row r="633985" spans="31:32" x14ac:dyDescent="0.25">
      <c r="AE633985" s="34"/>
      <c r="AF633985" s="34"/>
    </row>
    <row r="633993" spans="31:32" x14ac:dyDescent="0.25">
      <c r="AE633993" s="36"/>
      <c r="AF633993" s="36"/>
    </row>
    <row r="634089" spans="31:32" x14ac:dyDescent="0.25">
      <c r="AE634089" s="34"/>
      <c r="AF634089" s="34"/>
    </row>
    <row r="634097" spans="31:32" x14ac:dyDescent="0.25">
      <c r="AE634097" s="36"/>
      <c r="AF634097" s="36"/>
    </row>
    <row r="634193" spans="31:32" x14ac:dyDescent="0.25">
      <c r="AE634193" s="34"/>
      <c r="AF634193" s="34"/>
    </row>
    <row r="634201" spans="31:32" x14ac:dyDescent="0.25">
      <c r="AE634201" s="36"/>
      <c r="AF634201" s="36"/>
    </row>
    <row r="634297" spans="31:32" x14ac:dyDescent="0.25">
      <c r="AE634297" s="34"/>
      <c r="AF634297" s="34"/>
    </row>
    <row r="634305" spans="31:32" x14ac:dyDescent="0.25">
      <c r="AE634305" s="36"/>
      <c r="AF634305" s="36"/>
    </row>
    <row r="634401" spans="31:32" x14ac:dyDescent="0.25">
      <c r="AE634401" s="34"/>
      <c r="AF634401" s="34"/>
    </row>
    <row r="634409" spans="31:32" x14ac:dyDescent="0.25">
      <c r="AE634409" s="36"/>
      <c r="AF634409" s="36"/>
    </row>
    <row r="634505" spans="31:32" x14ac:dyDescent="0.25">
      <c r="AE634505" s="34"/>
      <c r="AF634505" s="34"/>
    </row>
    <row r="634513" spans="31:32" x14ac:dyDescent="0.25">
      <c r="AE634513" s="36"/>
      <c r="AF634513" s="36"/>
    </row>
    <row r="634609" spans="31:32" x14ac:dyDescent="0.25">
      <c r="AE634609" s="34"/>
      <c r="AF634609" s="34"/>
    </row>
    <row r="634617" spans="31:32" x14ac:dyDescent="0.25">
      <c r="AE634617" s="36"/>
      <c r="AF634617" s="36"/>
    </row>
    <row r="634713" spans="31:32" x14ac:dyDescent="0.25">
      <c r="AE634713" s="34"/>
      <c r="AF634713" s="34"/>
    </row>
    <row r="634721" spans="31:32" x14ac:dyDescent="0.25">
      <c r="AE634721" s="36"/>
      <c r="AF634721" s="36"/>
    </row>
    <row r="634817" spans="31:32" x14ac:dyDescent="0.25">
      <c r="AE634817" s="34"/>
      <c r="AF634817" s="34"/>
    </row>
    <row r="634825" spans="31:32" x14ac:dyDescent="0.25">
      <c r="AE634825" s="36"/>
      <c r="AF634825" s="36"/>
    </row>
    <row r="634921" spans="31:32" x14ac:dyDescent="0.25">
      <c r="AE634921" s="34"/>
      <c r="AF634921" s="34"/>
    </row>
    <row r="634929" spans="31:32" x14ac:dyDescent="0.25">
      <c r="AE634929" s="36"/>
      <c r="AF634929" s="36"/>
    </row>
    <row r="635025" spans="31:32" x14ac:dyDescent="0.25">
      <c r="AE635025" s="34"/>
      <c r="AF635025" s="34"/>
    </row>
    <row r="635033" spans="31:32" x14ac:dyDescent="0.25">
      <c r="AE635033" s="36"/>
      <c r="AF635033" s="36"/>
    </row>
    <row r="635129" spans="31:32" x14ac:dyDescent="0.25">
      <c r="AE635129" s="34"/>
      <c r="AF635129" s="34"/>
    </row>
    <row r="635137" spans="31:32" x14ac:dyDescent="0.25">
      <c r="AE635137" s="36"/>
      <c r="AF635137" s="36"/>
    </row>
    <row r="635233" spans="31:32" x14ac:dyDescent="0.25">
      <c r="AE635233" s="34"/>
      <c r="AF635233" s="34"/>
    </row>
    <row r="635241" spans="31:32" x14ac:dyDescent="0.25">
      <c r="AE635241" s="36"/>
      <c r="AF635241" s="36"/>
    </row>
    <row r="635337" spans="31:32" x14ac:dyDescent="0.25">
      <c r="AE635337" s="34"/>
      <c r="AF635337" s="34"/>
    </row>
    <row r="635345" spans="31:32" x14ac:dyDescent="0.25">
      <c r="AE635345" s="36"/>
      <c r="AF635345" s="36"/>
    </row>
    <row r="635441" spans="31:32" x14ac:dyDescent="0.25">
      <c r="AE635441" s="34"/>
      <c r="AF635441" s="34"/>
    </row>
    <row r="635449" spans="31:32" x14ac:dyDescent="0.25">
      <c r="AE635449" s="36"/>
      <c r="AF635449" s="36"/>
    </row>
    <row r="635545" spans="31:32" x14ac:dyDescent="0.25">
      <c r="AE635545" s="34"/>
      <c r="AF635545" s="34"/>
    </row>
    <row r="635553" spans="31:32" x14ac:dyDescent="0.25">
      <c r="AE635553" s="36"/>
      <c r="AF635553" s="36"/>
    </row>
    <row r="635649" spans="31:32" x14ac:dyDescent="0.25">
      <c r="AE635649" s="34"/>
      <c r="AF635649" s="34"/>
    </row>
    <row r="635657" spans="31:32" x14ac:dyDescent="0.25">
      <c r="AE635657" s="36"/>
      <c r="AF635657" s="36"/>
    </row>
    <row r="635753" spans="31:32" x14ac:dyDescent="0.25">
      <c r="AE635753" s="34"/>
      <c r="AF635753" s="34"/>
    </row>
    <row r="635761" spans="31:32" x14ac:dyDescent="0.25">
      <c r="AE635761" s="36"/>
      <c r="AF635761" s="36"/>
    </row>
    <row r="635857" spans="31:32" x14ac:dyDescent="0.25">
      <c r="AE635857" s="34"/>
      <c r="AF635857" s="34"/>
    </row>
    <row r="635865" spans="31:32" x14ac:dyDescent="0.25">
      <c r="AE635865" s="36"/>
      <c r="AF635865" s="36"/>
    </row>
    <row r="635961" spans="31:32" x14ac:dyDescent="0.25">
      <c r="AE635961" s="34"/>
      <c r="AF635961" s="34"/>
    </row>
    <row r="635969" spans="31:32" x14ac:dyDescent="0.25">
      <c r="AE635969" s="36"/>
      <c r="AF635969" s="36"/>
    </row>
    <row r="636065" spans="31:32" x14ac:dyDescent="0.25">
      <c r="AE636065" s="34"/>
      <c r="AF636065" s="34"/>
    </row>
    <row r="636073" spans="31:32" x14ac:dyDescent="0.25">
      <c r="AE636073" s="36"/>
      <c r="AF636073" s="36"/>
    </row>
    <row r="636169" spans="31:32" x14ac:dyDescent="0.25">
      <c r="AE636169" s="34"/>
      <c r="AF636169" s="34"/>
    </row>
    <row r="636177" spans="31:32" x14ac:dyDescent="0.25">
      <c r="AE636177" s="36"/>
      <c r="AF636177" s="36"/>
    </row>
    <row r="636273" spans="31:32" x14ac:dyDescent="0.25">
      <c r="AE636273" s="34"/>
      <c r="AF636273" s="34"/>
    </row>
    <row r="636281" spans="31:32" x14ac:dyDescent="0.25">
      <c r="AE636281" s="36"/>
      <c r="AF636281" s="36"/>
    </row>
    <row r="636377" spans="31:32" x14ac:dyDescent="0.25">
      <c r="AE636377" s="34"/>
      <c r="AF636377" s="34"/>
    </row>
    <row r="636385" spans="31:32" x14ac:dyDescent="0.25">
      <c r="AE636385" s="36"/>
      <c r="AF636385" s="36"/>
    </row>
    <row r="636481" spans="31:32" x14ac:dyDescent="0.25">
      <c r="AE636481" s="34"/>
      <c r="AF636481" s="34"/>
    </row>
    <row r="636489" spans="31:32" x14ac:dyDescent="0.25">
      <c r="AE636489" s="36"/>
      <c r="AF636489" s="36"/>
    </row>
    <row r="636585" spans="31:32" x14ac:dyDescent="0.25">
      <c r="AE636585" s="34"/>
      <c r="AF636585" s="34"/>
    </row>
    <row r="636593" spans="31:32" x14ac:dyDescent="0.25">
      <c r="AE636593" s="36"/>
      <c r="AF636593" s="36"/>
    </row>
    <row r="636689" spans="31:32" x14ac:dyDescent="0.25">
      <c r="AE636689" s="34"/>
      <c r="AF636689" s="34"/>
    </row>
    <row r="636697" spans="31:32" x14ac:dyDescent="0.25">
      <c r="AE636697" s="36"/>
      <c r="AF636697" s="36"/>
    </row>
    <row r="636793" spans="31:32" x14ac:dyDescent="0.25">
      <c r="AE636793" s="34"/>
      <c r="AF636793" s="34"/>
    </row>
    <row r="636801" spans="31:32" x14ac:dyDescent="0.25">
      <c r="AE636801" s="36"/>
      <c r="AF636801" s="36"/>
    </row>
    <row r="636897" spans="31:32" x14ac:dyDescent="0.25">
      <c r="AE636897" s="34"/>
      <c r="AF636897" s="34"/>
    </row>
    <row r="636905" spans="31:32" x14ac:dyDescent="0.25">
      <c r="AE636905" s="36"/>
      <c r="AF636905" s="36"/>
    </row>
    <row r="637001" spans="31:32" x14ac:dyDescent="0.25">
      <c r="AE637001" s="34"/>
      <c r="AF637001" s="34"/>
    </row>
    <row r="637009" spans="31:32" x14ac:dyDescent="0.25">
      <c r="AE637009" s="36"/>
      <c r="AF637009" s="36"/>
    </row>
    <row r="637105" spans="31:32" x14ac:dyDescent="0.25">
      <c r="AE637105" s="34"/>
      <c r="AF637105" s="34"/>
    </row>
    <row r="637113" spans="31:32" x14ac:dyDescent="0.25">
      <c r="AE637113" s="36"/>
      <c r="AF637113" s="36"/>
    </row>
    <row r="637209" spans="31:32" x14ac:dyDescent="0.25">
      <c r="AE637209" s="34"/>
      <c r="AF637209" s="34"/>
    </row>
    <row r="637217" spans="31:32" x14ac:dyDescent="0.25">
      <c r="AE637217" s="36"/>
      <c r="AF637217" s="36"/>
    </row>
    <row r="637313" spans="31:32" x14ac:dyDescent="0.25">
      <c r="AE637313" s="34"/>
      <c r="AF637313" s="34"/>
    </row>
    <row r="637321" spans="31:32" x14ac:dyDescent="0.25">
      <c r="AE637321" s="36"/>
      <c r="AF637321" s="36"/>
    </row>
    <row r="637417" spans="31:32" x14ac:dyDescent="0.25">
      <c r="AE637417" s="34"/>
      <c r="AF637417" s="34"/>
    </row>
    <row r="637425" spans="31:32" x14ac:dyDescent="0.25">
      <c r="AE637425" s="36"/>
      <c r="AF637425" s="36"/>
    </row>
    <row r="637521" spans="31:32" x14ac:dyDescent="0.25">
      <c r="AE637521" s="34"/>
      <c r="AF637521" s="34"/>
    </row>
    <row r="637529" spans="31:32" x14ac:dyDescent="0.25">
      <c r="AE637529" s="36"/>
      <c r="AF637529" s="36"/>
    </row>
    <row r="637625" spans="31:32" x14ac:dyDescent="0.25">
      <c r="AE637625" s="34"/>
      <c r="AF637625" s="34"/>
    </row>
    <row r="637633" spans="31:32" x14ac:dyDescent="0.25">
      <c r="AE637633" s="36"/>
      <c r="AF637633" s="36"/>
    </row>
    <row r="637729" spans="31:32" x14ac:dyDescent="0.25">
      <c r="AE637729" s="34"/>
      <c r="AF637729" s="34"/>
    </row>
    <row r="637737" spans="31:32" x14ac:dyDescent="0.25">
      <c r="AE637737" s="36"/>
      <c r="AF637737" s="36"/>
    </row>
    <row r="637833" spans="31:32" x14ac:dyDescent="0.25">
      <c r="AE637833" s="34"/>
      <c r="AF637833" s="34"/>
    </row>
    <row r="637841" spans="31:32" x14ac:dyDescent="0.25">
      <c r="AE637841" s="36"/>
      <c r="AF637841" s="36"/>
    </row>
    <row r="637937" spans="31:32" x14ac:dyDescent="0.25">
      <c r="AE637937" s="34"/>
      <c r="AF637937" s="34"/>
    </row>
    <row r="637945" spans="31:32" x14ac:dyDescent="0.25">
      <c r="AE637945" s="36"/>
      <c r="AF637945" s="36"/>
    </row>
    <row r="638041" spans="31:32" x14ac:dyDescent="0.25">
      <c r="AE638041" s="34"/>
      <c r="AF638041" s="34"/>
    </row>
    <row r="638049" spans="31:32" x14ac:dyDescent="0.25">
      <c r="AE638049" s="36"/>
      <c r="AF638049" s="36"/>
    </row>
    <row r="638145" spans="31:32" x14ac:dyDescent="0.25">
      <c r="AE638145" s="34"/>
      <c r="AF638145" s="34"/>
    </row>
    <row r="638153" spans="31:32" x14ac:dyDescent="0.25">
      <c r="AE638153" s="36"/>
      <c r="AF638153" s="36"/>
    </row>
    <row r="638249" spans="31:32" x14ac:dyDescent="0.25">
      <c r="AE638249" s="34"/>
      <c r="AF638249" s="34"/>
    </row>
    <row r="638257" spans="31:32" x14ac:dyDescent="0.25">
      <c r="AE638257" s="36"/>
      <c r="AF638257" s="36"/>
    </row>
    <row r="638353" spans="31:32" x14ac:dyDescent="0.25">
      <c r="AE638353" s="34"/>
      <c r="AF638353" s="34"/>
    </row>
    <row r="638361" spans="31:32" x14ac:dyDescent="0.25">
      <c r="AE638361" s="36"/>
      <c r="AF638361" s="36"/>
    </row>
    <row r="638457" spans="31:32" x14ac:dyDescent="0.25">
      <c r="AE638457" s="34"/>
      <c r="AF638457" s="34"/>
    </row>
    <row r="638465" spans="31:32" x14ac:dyDescent="0.25">
      <c r="AE638465" s="36"/>
      <c r="AF638465" s="36"/>
    </row>
    <row r="638561" spans="31:32" x14ac:dyDescent="0.25">
      <c r="AE638561" s="34"/>
      <c r="AF638561" s="34"/>
    </row>
    <row r="638569" spans="31:32" x14ac:dyDescent="0.25">
      <c r="AE638569" s="36"/>
      <c r="AF638569" s="36"/>
    </row>
    <row r="638665" spans="31:32" x14ac:dyDescent="0.25">
      <c r="AE638665" s="34"/>
      <c r="AF638665" s="34"/>
    </row>
    <row r="638673" spans="31:32" x14ac:dyDescent="0.25">
      <c r="AE638673" s="36"/>
      <c r="AF638673" s="36"/>
    </row>
    <row r="638769" spans="31:32" x14ac:dyDescent="0.25">
      <c r="AE638769" s="34"/>
      <c r="AF638769" s="34"/>
    </row>
    <row r="638777" spans="31:32" x14ac:dyDescent="0.25">
      <c r="AE638777" s="36"/>
      <c r="AF638777" s="36"/>
    </row>
    <row r="638873" spans="31:32" x14ac:dyDescent="0.25">
      <c r="AE638873" s="34"/>
      <c r="AF638873" s="34"/>
    </row>
    <row r="638881" spans="31:32" x14ac:dyDescent="0.25">
      <c r="AE638881" s="36"/>
      <c r="AF638881" s="36"/>
    </row>
    <row r="638977" spans="31:32" x14ac:dyDescent="0.25">
      <c r="AE638977" s="34"/>
      <c r="AF638977" s="34"/>
    </row>
    <row r="638985" spans="31:32" x14ac:dyDescent="0.25">
      <c r="AE638985" s="36"/>
      <c r="AF638985" s="36"/>
    </row>
    <row r="639081" spans="31:32" x14ac:dyDescent="0.25">
      <c r="AE639081" s="34"/>
      <c r="AF639081" s="34"/>
    </row>
    <row r="639089" spans="31:32" x14ac:dyDescent="0.25">
      <c r="AE639089" s="36"/>
      <c r="AF639089" s="36"/>
    </row>
    <row r="639185" spans="31:32" x14ac:dyDescent="0.25">
      <c r="AE639185" s="34"/>
      <c r="AF639185" s="34"/>
    </row>
    <row r="639193" spans="31:32" x14ac:dyDescent="0.25">
      <c r="AE639193" s="36"/>
      <c r="AF639193" s="36"/>
    </row>
    <row r="639289" spans="31:32" x14ac:dyDescent="0.25">
      <c r="AE639289" s="34"/>
      <c r="AF639289" s="34"/>
    </row>
    <row r="639297" spans="31:32" x14ac:dyDescent="0.25">
      <c r="AE639297" s="36"/>
      <c r="AF639297" s="36"/>
    </row>
    <row r="639393" spans="31:32" x14ac:dyDescent="0.25">
      <c r="AE639393" s="34"/>
      <c r="AF639393" s="34"/>
    </row>
    <row r="639401" spans="31:32" x14ac:dyDescent="0.25">
      <c r="AE639401" s="36"/>
      <c r="AF639401" s="36"/>
    </row>
    <row r="639497" spans="31:32" x14ac:dyDescent="0.25">
      <c r="AE639497" s="34"/>
      <c r="AF639497" s="34"/>
    </row>
    <row r="639505" spans="31:32" x14ac:dyDescent="0.25">
      <c r="AE639505" s="36"/>
      <c r="AF639505" s="36"/>
    </row>
    <row r="639601" spans="31:32" x14ac:dyDescent="0.25">
      <c r="AE639601" s="34"/>
      <c r="AF639601" s="34"/>
    </row>
    <row r="639609" spans="31:32" x14ac:dyDescent="0.25">
      <c r="AE639609" s="36"/>
      <c r="AF639609" s="36"/>
    </row>
    <row r="639705" spans="31:32" x14ac:dyDescent="0.25">
      <c r="AE639705" s="34"/>
      <c r="AF639705" s="34"/>
    </row>
    <row r="639713" spans="31:32" x14ac:dyDescent="0.25">
      <c r="AE639713" s="36"/>
      <c r="AF639713" s="36"/>
    </row>
    <row r="639809" spans="31:32" x14ac:dyDescent="0.25">
      <c r="AE639809" s="34"/>
      <c r="AF639809" s="34"/>
    </row>
    <row r="639817" spans="31:32" x14ac:dyDescent="0.25">
      <c r="AE639817" s="36"/>
      <c r="AF639817" s="36"/>
    </row>
    <row r="639913" spans="31:32" x14ac:dyDescent="0.25">
      <c r="AE639913" s="34"/>
      <c r="AF639913" s="34"/>
    </row>
    <row r="639921" spans="31:32" x14ac:dyDescent="0.25">
      <c r="AE639921" s="36"/>
      <c r="AF639921" s="36"/>
    </row>
    <row r="640017" spans="31:32" x14ac:dyDescent="0.25">
      <c r="AE640017" s="34"/>
      <c r="AF640017" s="34"/>
    </row>
    <row r="640025" spans="31:32" x14ac:dyDescent="0.25">
      <c r="AE640025" s="36"/>
      <c r="AF640025" s="36"/>
    </row>
    <row r="640121" spans="31:32" x14ac:dyDescent="0.25">
      <c r="AE640121" s="34"/>
      <c r="AF640121" s="34"/>
    </row>
    <row r="640129" spans="31:32" x14ac:dyDescent="0.25">
      <c r="AE640129" s="36"/>
      <c r="AF640129" s="36"/>
    </row>
    <row r="640225" spans="31:32" x14ac:dyDescent="0.25">
      <c r="AE640225" s="34"/>
      <c r="AF640225" s="34"/>
    </row>
    <row r="640233" spans="31:32" x14ac:dyDescent="0.25">
      <c r="AE640233" s="36"/>
      <c r="AF640233" s="36"/>
    </row>
    <row r="640329" spans="31:32" x14ac:dyDescent="0.25">
      <c r="AE640329" s="34"/>
      <c r="AF640329" s="34"/>
    </row>
    <row r="640337" spans="31:32" x14ac:dyDescent="0.25">
      <c r="AE640337" s="36"/>
      <c r="AF640337" s="36"/>
    </row>
    <row r="640433" spans="31:32" x14ac:dyDescent="0.25">
      <c r="AE640433" s="34"/>
      <c r="AF640433" s="34"/>
    </row>
    <row r="640441" spans="31:32" x14ac:dyDescent="0.25">
      <c r="AE640441" s="36"/>
      <c r="AF640441" s="36"/>
    </row>
    <row r="640537" spans="31:32" x14ac:dyDescent="0.25">
      <c r="AE640537" s="34"/>
      <c r="AF640537" s="34"/>
    </row>
    <row r="640545" spans="31:32" x14ac:dyDescent="0.25">
      <c r="AE640545" s="36"/>
      <c r="AF640545" s="36"/>
    </row>
    <row r="640641" spans="31:32" x14ac:dyDescent="0.25">
      <c r="AE640641" s="34"/>
      <c r="AF640641" s="34"/>
    </row>
    <row r="640649" spans="31:32" x14ac:dyDescent="0.25">
      <c r="AE640649" s="36"/>
      <c r="AF640649" s="36"/>
    </row>
    <row r="640745" spans="31:32" x14ac:dyDescent="0.25">
      <c r="AE640745" s="34"/>
      <c r="AF640745" s="34"/>
    </row>
    <row r="640753" spans="31:32" x14ac:dyDescent="0.25">
      <c r="AE640753" s="36"/>
      <c r="AF640753" s="36"/>
    </row>
    <row r="640849" spans="31:32" x14ac:dyDescent="0.25">
      <c r="AE640849" s="34"/>
      <c r="AF640849" s="34"/>
    </row>
    <row r="640857" spans="31:32" x14ac:dyDescent="0.25">
      <c r="AE640857" s="36"/>
      <c r="AF640857" s="36"/>
    </row>
    <row r="640953" spans="31:32" x14ac:dyDescent="0.25">
      <c r="AE640953" s="34"/>
      <c r="AF640953" s="34"/>
    </row>
    <row r="640961" spans="31:32" x14ac:dyDescent="0.25">
      <c r="AE640961" s="36"/>
      <c r="AF640961" s="36"/>
    </row>
    <row r="641057" spans="31:32" x14ac:dyDescent="0.25">
      <c r="AE641057" s="34"/>
      <c r="AF641057" s="34"/>
    </row>
    <row r="641065" spans="31:32" x14ac:dyDescent="0.25">
      <c r="AE641065" s="36"/>
      <c r="AF641065" s="36"/>
    </row>
    <row r="641161" spans="31:32" x14ac:dyDescent="0.25">
      <c r="AE641161" s="34"/>
      <c r="AF641161" s="34"/>
    </row>
    <row r="641169" spans="31:32" x14ac:dyDescent="0.25">
      <c r="AE641169" s="36"/>
      <c r="AF641169" s="36"/>
    </row>
    <row r="641265" spans="31:32" x14ac:dyDescent="0.25">
      <c r="AE641265" s="34"/>
      <c r="AF641265" s="34"/>
    </row>
    <row r="641273" spans="31:32" x14ac:dyDescent="0.25">
      <c r="AE641273" s="36"/>
      <c r="AF641273" s="36"/>
    </row>
    <row r="641369" spans="31:32" x14ac:dyDescent="0.25">
      <c r="AE641369" s="34"/>
      <c r="AF641369" s="34"/>
    </row>
    <row r="641377" spans="31:32" x14ac:dyDescent="0.25">
      <c r="AE641377" s="36"/>
      <c r="AF641377" s="36"/>
    </row>
    <row r="641473" spans="31:32" x14ac:dyDescent="0.25">
      <c r="AE641473" s="34"/>
      <c r="AF641473" s="34"/>
    </row>
    <row r="641481" spans="31:32" x14ac:dyDescent="0.25">
      <c r="AE641481" s="36"/>
      <c r="AF641481" s="36"/>
    </row>
    <row r="641577" spans="31:32" x14ac:dyDescent="0.25">
      <c r="AE641577" s="34"/>
      <c r="AF641577" s="34"/>
    </row>
    <row r="641585" spans="31:32" x14ac:dyDescent="0.25">
      <c r="AE641585" s="36"/>
      <c r="AF641585" s="36"/>
    </row>
    <row r="641681" spans="31:32" x14ac:dyDescent="0.25">
      <c r="AE641681" s="34"/>
      <c r="AF641681" s="34"/>
    </row>
    <row r="641689" spans="31:32" x14ac:dyDescent="0.25">
      <c r="AE641689" s="36"/>
      <c r="AF641689" s="36"/>
    </row>
    <row r="641785" spans="31:32" x14ac:dyDescent="0.25">
      <c r="AE641785" s="34"/>
      <c r="AF641785" s="34"/>
    </row>
    <row r="641793" spans="31:32" x14ac:dyDescent="0.25">
      <c r="AE641793" s="36"/>
      <c r="AF641793" s="36"/>
    </row>
    <row r="641889" spans="31:32" x14ac:dyDescent="0.25">
      <c r="AE641889" s="34"/>
      <c r="AF641889" s="34"/>
    </row>
    <row r="641897" spans="31:32" x14ac:dyDescent="0.25">
      <c r="AE641897" s="36"/>
      <c r="AF641897" s="36"/>
    </row>
    <row r="641993" spans="31:32" x14ac:dyDescent="0.25">
      <c r="AE641993" s="34"/>
      <c r="AF641993" s="34"/>
    </row>
    <row r="642001" spans="31:32" x14ac:dyDescent="0.25">
      <c r="AE642001" s="36"/>
      <c r="AF642001" s="36"/>
    </row>
    <row r="642097" spans="31:32" x14ac:dyDescent="0.25">
      <c r="AE642097" s="34"/>
      <c r="AF642097" s="34"/>
    </row>
    <row r="642105" spans="31:32" x14ac:dyDescent="0.25">
      <c r="AE642105" s="36"/>
      <c r="AF642105" s="36"/>
    </row>
    <row r="642201" spans="31:32" x14ac:dyDescent="0.25">
      <c r="AE642201" s="34"/>
      <c r="AF642201" s="34"/>
    </row>
    <row r="642209" spans="31:32" x14ac:dyDescent="0.25">
      <c r="AE642209" s="36"/>
      <c r="AF642209" s="36"/>
    </row>
    <row r="642305" spans="31:32" x14ac:dyDescent="0.25">
      <c r="AE642305" s="34"/>
      <c r="AF642305" s="34"/>
    </row>
    <row r="642313" spans="31:32" x14ac:dyDescent="0.25">
      <c r="AE642313" s="36"/>
      <c r="AF642313" s="36"/>
    </row>
    <row r="642409" spans="31:32" x14ac:dyDescent="0.25">
      <c r="AE642409" s="34"/>
      <c r="AF642409" s="34"/>
    </row>
    <row r="642417" spans="31:32" x14ac:dyDescent="0.25">
      <c r="AE642417" s="36"/>
      <c r="AF642417" s="36"/>
    </row>
    <row r="642513" spans="31:32" x14ac:dyDescent="0.25">
      <c r="AE642513" s="34"/>
      <c r="AF642513" s="34"/>
    </row>
    <row r="642521" spans="31:32" x14ac:dyDescent="0.25">
      <c r="AE642521" s="36"/>
      <c r="AF642521" s="36"/>
    </row>
    <row r="642617" spans="31:32" x14ac:dyDescent="0.25">
      <c r="AE642617" s="34"/>
      <c r="AF642617" s="34"/>
    </row>
    <row r="642625" spans="31:32" x14ac:dyDescent="0.25">
      <c r="AE642625" s="36"/>
      <c r="AF642625" s="36"/>
    </row>
    <row r="642721" spans="31:32" x14ac:dyDescent="0.25">
      <c r="AE642721" s="34"/>
      <c r="AF642721" s="34"/>
    </row>
    <row r="642729" spans="31:32" x14ac:dyDescent="0.25">
      <c r="AE642729" s="36"/>
      <c r="AF642729" s="36"/>
    </row>
    <row r="642825" spans="31:32" x14ac:dyDescent="0.25">
      <c r="AE642825" s="34"/>
      <c r="AF642825" s="34"/>
    </row>
    <row r="642833" spans="31:32" x14ac:dyDescent="0.25">
      <c r="AE642833" s="36"/>
      <c r="AF642833" s="36"/>
    </row>
    <row r="642929" spans="31:32" x14ac:dyDescent="0.25">
      <c r="AE642929" s="34"/>
      <c r="AF642929" s="34"/>
    </row>
    <row r="642937" spans="31:32" x14ac:dyDescent="0.25">
      <c r="AE642937" s="36"/>
      <c r="AF642937" s="36"/>
    </row>
    <row r="643033" spans="31:32" x14ac:dyDescent="0.25">
      <c r="AE643033" s="34"/>
      <c r="AF643033" s="34"/>
    </row>
    <row r="643041" spans="31:32" x14ac:dyDescent="0.25">
      <c r="AE643041" s="36"/>
      <c r="AF643041" s="36"/>
    </row>
    <row r="643137" spans="31:32" x14ac:dyDescent="0.25">
      <c r="AE643137" s="34"/>
      <c r="AF643137" s="34"/>
    </row>
    <row r="643145" spans="31:32" x14ac:dyDescent="0.25">
      <c r="AE643145" s="36"/>
      <c r="AF643145" s="36"/>
    </row>
    <row r="643241" spans="31:32" x14ac:dyDescent="0.25">
      <c r="AE643241" s="34"/>
      <c r="AF643241" s="34"/>
    </row>
    <row r="643249" spans="31:32" x14ac:dyDescent="0.25">
      <c r="AE643249" s="36"/>
      <c r="AF643249" s="36"/>
    </row>
    <row r="643345" spans="31:32" x14ac:dyDescent="0.25">
      <c r="AE643345" s="34"/>
      <c r="AF643345" s="34"/>
    </row>
    <row r="643353" spans="31:32" x14ac:dyDescent="0.25">
      <c r="AE643353" s="36"/>
      <c r="AF643353" s="36"/>
    </row>
    <row r="643449" spans="31:32" x14ac:dyDescent="0.25">
      <c r="AE643449" s="34"/>
      <c r="AF643449" s="34"/>
    </row>
    <row r="643457" spans="31:32" x14ac:dyDescent="0.25">
      <c r="AE643457" s="36"/>
      <c r="AF643457" s="36"/>
    </row>
    <row r="643553" spans="31:32" x14ac:dyDescent="0.25">
      <c r="AE643553" s="34"/>
      <c r="AF643553" s="34"/>
    </row>
    <row r="643561" spans="31:32" x14ac:dyDescent="0.25">
      <c r="AE643561" s="36"/>
      <c r="AF643561" s="36"/>
    </row>
    <row r="643657" spans="31:32" x14ac:dyDescent="0.25">
      <c r="AE643657" s="34"/>
      <c r="AF643657" s="34"/>
    </row>
    <row r="643665" spans="31:32" x14ac:dyDescent="0.25">
      <c r="AE643665" s="36"/>
      <c r="AF643665" s="36"/>
    </row>
    <row r="643761" spans="31:32" x14ac:dyDescent="0.25">
      <c r="AE643761" s="34"/>
      <c r="AF643761" s="34"/>
    </row>
    <row r="643769" spans="31:32" x14ac:dyDescent="0.25">
      <c r="AE643769" s="36"/>
      <c r="AF643769" s="36"/>
    </row>
    <row r="643865" spans="31:32" x14ac:dyDescent="0.25">
      <c r="AE643865" s="34"/>
      <c r="AF643865" s="34"/>
    </row>
    <row r="643873" spans="31:32" x14ac:dyDescent="0.25">
      <c r="AE643873" s="36"/>
      <c r="AF643873" s="36"/>
    </row>
    <row r="643969" spans="31:32" x14ac:dyDescent="0.25">
      <c r="AE643969" s="34"/>
      <c r="AF643969" s="34"/>
    </row>
    <row r="643977" spans="31:32" x14ac:dyDescent="0.25">
      <c r="AE643977" s="36"/>
      <c r="AF643977" s="36"/>
    </row>
    <row r="644073" spans="31:32" x14ac:dyDescent="0.25">
      <c r="AE644073" s="34"/>
      <c r="AF644073" s="34"/>
    </row>
    <row r="644081" spans="31:32" x14ac:dyDescent="0.25">
      <c r="AE644081" s="36"/>
      <c r="AF644081" s="36"/>
    </row>
    <row r="644177" spans="31:32" x14ac:dyDescent="0.25">
      <c r="AE644177" s="34"/>
      <c r="AF644177" s="34"/>
    </row>
    <row r="644185" spans="31:32" x14ac:dyDescent="0.25">
      <c r="AE644185" s="36"/>
      <c r="AF644185" s="36"/>
    </row>
    <row r="644281" spans="31:32" x14ac:dyDescent="0.25">
      <c r="AE644281" s="34"/>
      <c r="AF644281" s="34"/>
    </row>
    <row r="644289" spans="31:32" x14ac:dyDescent="0.25">
      <c r="AE644289" s="36"/>
      <c r="AF644289" s="36"/>
    </row>
    <row r="644385" spans="31:32" x14ac:dyDescent="0.25">
      <c r="AE644385" s="34"/>
      <c r="AF644385" s="34"/>
    </row>
    <row r="644393" spans="31:32" x14ac:dyDescent="0.25">
      <c r="AE644393" s="36"/>
      <c r="AF644393" s="36"/>
    </row>
    <row r="644489" spans="31:32" x14ac:dyDescent="0.25">
      <c r="AE644489" s="34"/>
      <c r="AF644489" s="34"/>
    </row>
    <row r="644497" spans="31:32" x14ac:dyDescent="0.25">
      <c r="AE644497" s="36"/>
      <c r="AF644497" s="36"/>
    </row>
    <row r="644593" spans="31:32" x14ac:dyDescent="0.25">
      <c r="AE644593" s="34"/>
      <c r="AF644593" s="34"/>
    </row>
    <row r="644601" spans="31:32" x14ac:dyDescent="0.25">
      <c r="AE644601" s="36"/>
      <c r="AF644601" s="36"/>
    </row>
    <row r="644697" spans="31:32" x14ac:dyDescent="0.25">
      <c r="AE644697" s="34"/>
      <c r="AF644697" s="34"/>
    </row>
    <row r="644705" spans="31:32" x14ac:dyDescent="0.25">
      <c r="AE644705" s="36"/>
      <c r="AF644705" s="36"/>
    </row>
    <row r="644801" spans="31:32" x14ac:dyDescent="0.25">
      <c r="AE644801" s="34"/>
      <c r="AF644801" s="34"/>
    </row>
    <row r="644809" spans="31:32" x14ac:dyDescent="0.25">
      <c r="AE644809" s="36"/>
      <c r="AF644809" s="36"/>
    </row>
    <row r="644905" spans="31:32" x14ac:dyDescent="0.25">
      <c r="AE644905" s="34"/>
      <c r="AF644905" s="34"/>
    </row>
    <row r="644913" spans="31:32" x14ac:dyDescent="0.25">
      <c r="AE644913" s="36"/>
      <c r="AF644913" s="36"/>
    </row>
    <row r="645009" spans="31:32" x14ac:dyDescent="0.25">
      <c r="AE645009" s="34"/>
      <c r="AF645009" s="34"/>
    </row>
    <row r="645017" spans="31:32" x14ac:dyDescent="0.25">
      <c r="AE645017" s="36"/>
      <c r="AF645017" s="36"/>
    </row>
    <row r="645113" spans="31:32" x14ac:dyDescent="0.25">
      <c r="AE645113" s="34"/>
      <c r="AF645113" s="34"/>
    </row>
    <row r="645121" spans="31:32" x14ac:dyDescent="0.25">
      <c r="AE645121" s="36"/>
      <c r="AF645121" s="36"/>
    </row>
    <row r="645217" spans="31:32" x14ac:dyDescent="0.25">
      <c r="AE645217" s="34"/>
      <c r="AF645217" s="34"/>
    </row>
    <row r="645225" spans="31:32" x14ac:dyDescent="0.25">
      <c r="AE645225" s="36"/>
      <c r="AF645225" s="36"/>
    </row>
    <row r="645321" spans="31:32" x14ac:dyDescent="0.25">
      <c r="AE645321" s="34"/>
      <c r="AF645321" s="34"/>
    </row>
    <row r="645329" spans="31:32" x14ac:dyDescent="0.25">
      <c r="AE645329" s="36"/>
      <c r="AF645329" s="36"/>
    </row>
    <row r="645425" spans="31:32" x14ac:dyDescent="0.25">
      <c r="AE645425" s="34"/>
      <c r="AF645425" s="34"/>
    </row>
    <row r="645433" spans="31:32" x14ac:dyDescent="0.25">
      <c r="AE645433" s="36"/>
      <c r="AF645433" s="36"/>
    </row>
    <row r="645529" spans="31:32" x14ac:dyDescent="0.25">
      <c r="AE645529" s="34"/>
      <c r="AF645529" s="34"/>
    </row>
    <row r="645537" spans="31:32" x14ac:dyDescent="0.25">
      <c r="AE645537" s="36"/>
      <c r="AF645537" s="36"/>
    </row>
    <row r="645633" spans="31:32" x14ac:dyDescent="0.25">
      <c r="AE645633" s="34"/>
      <c r="AF645633" s="34"/>
    </row>
    <row r="645641" spans="31:32" x14ac:dyDescent="0.25">
      <c r="AE645641" s="36"/>
      <c r="AF645641" s="36"/>
    </row>
    <row r="645737" spans="31:32" x14ac:dyDescent="0.25">
      <c r="AE645737" s="34"/>
      <c r="AF645737" s="34"/>
    </row>
    <row r="645745" spans="31:32" x14ac:dyDescent="0.25">
      <c r="AE645745" s="36"/>
      <c r="AF645745" s="36"/>
    </row>
    <row r="645841" spans="31:32" x14ac:dyDescent="0.25">
      <c r="AE645841" s="34"/>
      <c r="AF645841" s="34"/>
    </row>
    <row r="645849" spans="31:32" x14ac:dyDescent="0.25">
      <c r="AE645849" s="36"/>
      <c r="AF645849" s="36"/>
    </row>
    <row r="645945" spans="31:32" x14ac:dyDescent="0.25">
      <c r="AE645945" s="34"/>
      <c r="AF645945" s="34"/>
    </row>
    <row r="645953" spans="31:32" x14ac:dyDescent="0.25">
      <c r="AE645953" s="36"/>
      <c r="AF645953" s="36"/>
    </row>
    <row r="646049" spans="31:32" x14ac:dyDescent="0.25">
      <c r="AE646049" s="34"/>
      <c r="AF646049" s="34"/>
    </row>
    <row r="646057" spans="31:32" x14ac:dyDescent="0.25">
      <c r="AE646057" s="36"/>
      <c r="AF646057" s="36"/>
    </row>
    <row r="646153" spans="31:32" x14ac:dyDescent="0.25">
      <c r="AE646153" s="34"/>
      <c r="AF646153" s="34"/>
    </row>
    <row r="646161" spans="31:32" x14ac:dyDescent="0.25">
      <c r="AE646161" s="36"/>
      <c r="AF646161" s="36"/>
    </row>
    <row r="646257" spans="31:32" x14ac:dyDescent="0.25">
      <c r="AE646257" s="34"/>
      <c r="AF646257" s="34"/>
    </row>
    <row r="646265" spans="31:32" x14ac:dyDescent="0.25">
      <c r="AE646265" s="36"/>
      <c r="AF646265" s="36"/>
    </row>
    <row r="646361" spans="31:32" x14ac:dyDescent="0.25">
      <c r="AE646361" s="34"/>
      <c r="AF646361" s="34"/>
    </row>
    <row r="646369" spans="31:32" x14ac:dyDescent="0.25">
      <c r="AE646369" s="36"/>
      <c r="AF646369" s="36"/>
    </row>
    <row r="646465" spans="31:32" x14ac:dyDescent="0.25">
      <c r="AE646465" s="34"/>
      <c r="AF646465" s="34"/>
    </row>
    <row r="646473" spans="31:32" x14ac:dyDescent="0.25">
      <c r="AE646473" s="36"/>
      <c r="AF646473" s="36"/>
    </row>
    <row r="646569" spans="31:32" x14ac:dyDescent="0.25">
      <c r="AE646569" s="34"/>
      <c r="AF646569" s="34"/>
    </row>
    <row r="646577" spans="31:32" x14ac:dyDescent="0.25">
      <c r="AE646577" s="36"/>
      <c r="AF646577" s="36"/>
    </row>
    <row r="646673" spans="31:32" x14ac:dyDescent="0.25">
      <c r="AE646673" s="34"/>
      <c r="AF646673" s="34"/>
    </row>
    <row r="646681" spans="31:32" x14ac:dyDescent="0.25">
      <c r="AE646681" s="36"/>
      <c r="AF646681" s="36"/>
    </row>
    <row r="646777" spans="31:32" x14ac:dyDescent="0.25">
      <c r="AE646777" s="34"/>
      <c r="AF646777" s="34"/>
    </row>
    <row r="646785" spans="31:32" x14ac:dyDescent="0.25">
      <c r="AE646785" s="36"/>
      <c r="AF646785" s="36"/>
    </row>
    <row r="646881" spans="31:32" x14ac:dyDescent="0.25">
      <c r="AE646881" s="34"/>
      <c r="AF646881" s="34"/>
    </row>
    <row r="646889" spans="31:32" x14ac:dyDescent="0.25">
      <c r="AE646889" s="36"/>
      <c r="AF646889" s="36"/>
    </row>
    <row r="646985" spans="31:32" x14ac:dyDescent="0.25">
      <c r="AE646985" s="34"/>
      <c r="AF646985" s="34"/>
    </row>
    <row r="646993" spans="31:32" x14ac:dyDescent="0.25">
      <c r="AE646993" s="36"/>
      <c r="AF646993" s="36"/>
    </row>
    <row r="647089" spans="31:32" x14ac:dyDescent="0.25">
      <c r="AE647089" s="34"/>
      <c r="AF647089" s="34"/>
    </row>
    <row r="647097" spans="31:32" x14ac:dyDescent="0.25">
      <c r="AE647097" s="36"/>
      <c r="AF647097" s="36"/>
    </row>
    <row r="647193" spans="31:32" x14ac:dyDescent="0.25">
      <c r="AE647193" s="34"/>
      <c r="AF647193" s="34"/>
    </row>
    <row r="647201" spans="31:32" x14ac:dyDescent="0.25">
      <c r="AE647201" s="36"/>
      <c r="AF647201" s="36"/>
    </row>
    <row r="647297" spans="31:32" x14ac:dyDescent="0.25">
      <c r="AE647297" s="34"/>
      <c r="AF647297" s="34"/>
    </row>
    <row r="647305" spans="31:32" x14ac:dyDescent="0.25">
      <c r="AE647305" s="36"/>
      <c r="AF647305" s="36"/>
    </row>
    <row r="647401" spans="31:32" x14ac:dyDescent="0.25">
      <c r="AE647401" s="34"/>
      <c r="AF647401" s="34"/>
    </row>
    <row r="647409" spans="31:32" x14ac:dyDescent="0.25">
      <c r="AE647409" s="36"/>
      <c r="AF647409" s="36"/>
    </row>
    <row r="647505" spans="31:32" x14ac:dyDescent="0.25">
      <c r="AE647505" s="34"/>
      <c r="AF647505" s="34"/>
    </row>
    <row r="647513" spans="31:32" x14ac:dyDescent="0.25">
      <c r="AE647513" s="36"/>
      <c r="AF647513" s="36"/>
    </row>
    <row r="647609" spans="31:32" x14ac:dyDescent="0.25">
      <c r="AE647609" s="34"/>
      <c r="AF647609" s="34"/>
    </row>
    <row r="647617" spans="31:32" x14ac:dyDescent="0.25">
      <c r="AE647617" s="36"/>
      <c r="AF647617" s="36"/>
    </row>
    <row r="647713" spans="31:32" x14ac:dyDescent="0.25">
      <c r="AE647713" s="34"/>
      <c r="AF647713" s="34"/>
    </row>
    <row r="647721" spans="31:32" x14ac:dyDescent="0.25">
      <c r="AE647721" s="36"/>
      <c r="AF647721" s="36"/>
    </row>
    <row r="647817" spans="31:32" x14ac:dyDescent="0.25">
      <c r="AE647817" s="34"/>
      <c r="AF647817" s="34"/>
    </row>
    <row r="647825" spans="31:32" x14ac:dyDescent="0.25">
      <c r="AE647825" s="36"/>
      <c r="AF647825" s="36"/>
    </row>
    <row r="647921" spans="31:32" x14ac:dyDescent="0.25">
      <c r="AE647921" s="34"/>
      <c r="AF647921" s="34"/>
    </row>
    <row r="647929" spans="31:32" x14ac:dyDescent="0.25">
      <c r="AE647929" s="36"/>
      <c r="AF647929" s="36"/>
    </row>
    <row r="648025" spans="31:32" x14ac:dyDescent="0.25">
      <c r="AE648025" s="34"/>
      <c r="AF648025" s="34"/>
    </row>
    <row r="648033" spans="31:32" x14ac:dyDescent="0.25">
      <c r="AE648033" s="36"/>
      <c r="AF648033" s="36"/>
    </row>
    <row r="648129" spans="31:32" x14ac:dyDescent="0.25">
      <c r="AE648129" s="34"/>
      <c r="AF648129" s="34"/>
    </row>
    <row r="648137" spans="31:32" x14ac:dyDescent="0.25">
      <c r="AE648137" s="36"/>
      <c r="AF648137" s="36"/>
    </row>
    <row r="648233" spans="31:32" x14ac:dyDescent="0.25">
      <c r="AE648233" s="34"/>
      <c r="AF648233" s="34"/>
    </row>
    <row r="648241" spans="31:32" x14ac:dyDescent="0.25">
      <c r="AE648241" s="36"/>
      <c r="AF648241" s="36"/>
    </row>
    <row r="648337" spans="31:32" x14ac:dyDescent="0.25">
      <c r="AE648337" s="34"/>
      <c r="AF648337" s="34"/>
    </row>
    <row r="648345" spans="31:32" x14ac:dyDescent="0.25">
      <c r="AE648345" s="36"/>
      <c r="AF648345" s="36"/>
    </row>
    <row r="648441" spans="31:32" x14ac:dyDescent="0.25">
      <c r="AE648441" s="34"/>
      <c r="AF648441" s="34"/>
    </row>
    <row r="648449" spans="31:32" x14ac:dyDescent="0.25">
      <c r="AE648449" s="36"/>
      <c r="AF648449" s="36"/>
    </row>
    <row r="648545" spans="31:32" x14ac:dyDescent="0.25">
      <c r="AE648545" s="34"/>
      <c r="AF648545" s="34"/>
    </row>
    <row r="648553" spans="31:32" x14ac:dyDescent="0.25">
      <c r="AE648553" s="36"/>
      <c r="AF648553" s="36"/>
    </row>
    <row r="648649" spans="31:32" x14ac:dyDescent="0.25">
      <c r="AE648649" s="34"/>
      <c r="AF648649" s="34"/>
    </row>
    <row r="648657" spans="31:32" x14ac:dyDescent="0.25">
      <c r="AE648657" s="36"/>
      <c r="AF648657" s="36"/>
    </row>
    <row r="648753" spans="31:32" x14ac:dyDescent="0.25">
      <c r="AE648753" s="34"/>
      <c r="AF648753" s="34"/>
    </row>
    <row r="648761" spans="31:32" x14ac:dyDescent="0.25">
      <c r="AE648761" s="36"/>
      <c r="AF648761" s="36"/>
    </row>
    <row r="648857" spans="31:32" x14ac:dyDescent="0.25">
      <c r="AE648857" s="34"/>
      <c r="AF648857" s="34"/>
    </row>
    <row r="648865" spans="31:32" x14ac:dyDescent="0.25">
      <c r="AE648865" s="36"/>
      <c r="AF648865" s="36"/>
    </row>
    <row r="648961" spans="31:32" x14ac:dyDescent="0.25">
      <c r="AE648961" s="34"/>
      <c r="AF648961" s="34"/>
    </row>
    <row r="648969" spans="31:32" x14ac:dyDescent="0.25">
      <c r="AE648969" s="36"/>
      <c r="AF648969" s="36"/>
    </row>
    <row r="649065" spans="31:32" x14ac:dyDescent="0.25">
      <c r="AE649065" s="34"/>
      <c r="AF649065" s="34"/>
    </row>
    <row r="649073" spans="31:32" x14ac:dyDescent="0.25">
      <c r="AE649073" s="36"/>
      <c r="AF649073" s="36"/>
    </row>
    <row r="649169" spans="31:32" x14ac:dyDescent="0.25">
      <c r="AE649169" s="34"/>
      <c r="AF649169" s="34"/>
    </row>
    <row r="649177" spans="31:32" x14ac:dyDescent="0.25">
      <c r="AE649177" s="36"/>
      <c r="AF649177" s="36"/>
    </row>
    <row r="649273" spans="31:32" x14ac:dyDescent="0.25">
      <c r="AE649273" s="34"/>
      <c r="AF649273" s="34"/>
    </row>
    <row r="649281" spans="31:32" x14ac:dyDescent="0.25">
      <c r="AE649281" s="36"/>
      <c r="AF649281" s="36"/>
    </row>
    <row r="649377" spans="31:32" x14ac:dyDescent="0.25">
      <c r="AE649377" s="34"/>
      <c r="AF649377" s="34"/>
    </row>
    <row r="649385" spans="31:32" x14ac:dyDescent="0.25">
      <c r="AE649385" s="36"/>
      <c r="AF649385" s="36"/>
    </row>
    <row r="649481" spans="31:32" x14ac:dyDescent="0.25">
      <c r="AE649481" s="34"/>
      <c r="AF649481" s="34"/>
    </row>
    <row r="649489" spans="31:32" x14ac:dyDescent="0.25">
      <c r="AE649489" s="36"/>
      <c r="AF649489" s="36"/>
    </row>
    <row r="649585" spans="31:32" x14ac:dyDescent="0.25">
      <c r="AE649585" s="34"/>
      <c r="AF649585" s="34"/>
    </row>
    <row r="649593" spans="31:32" x14ac:dyDescent="0.25">
      <c r="AE649593" s="36"/>
      <c r="AF649593" s="36"/>
    </row>
    <row r="649689" spans="31:32" x14ac:dyDescent="0.25">
      <c r="AE649689" s="34"/>
      <c r="AF649689" s="34"/>
    </row>
    <row r="649697" spans="31:32" x14ac:dyDescent="0.25">
      <c r="AE649697" s="36"/>
      <c r="AF649697" s="36"/>
    </row>
    <row r="649793" spans="31:32" x14ac:dyDescent="0.25">
      <c r="AE649793" s="34"/>
      <c r="AF649793" s="34"/>
    </row>
    <row r="649801" spans="31:32" x14ac:dyDescent="0.25">
      <c r="AE649801" s="36"/>
      <c r="AF649801" s="36"/>
    </row>
    <row r="649897" spans="31:32" x14ac:dyDescent="0.25">
      <c r="AE649897" s="34"/>
      <c r="AF649897" s="34"/>
    </row>
    <row r="649905" spans="31:32" x14ac:dyDescent="0.25">
      <c r="AE649905" s="36"/>
      <c r="AF649905" s="36"/>
    </row>
    <row r="650001" spans="31:32" x14ac:dyDescent="0.25">
      <c r="AE650001" s="34"/>
      <c r="AF650001" s="34"/>
    </row>
    <row r="650009" spans="31:32" x14ac:dyDescent="0.25">
      <c r="AE650009" s="36"/>
      <c r="AF650009" s="36"/>
    </row>
    <row r="650105" spans="31:32" x14ac:dyDescent="0.25">
      <c r="AE650105" s="34"/>
      <c r="AF650105" s="34"/>
    </row>
    <row r="650113" spans="31:32" x14ac:dyDescent="0.25">
      <c r="AE650113" s="36"/>
      <c r="AF650113" s="36"/>
    </row>
    <row r="650209" spans="31:32" x14ac:dyDescent="0.25">
      <c r="AE650209" s="34"/>
      <c r="AF650209" s="34"/>
    </row>
    <row r="650217" spans="31:32" x14ac:dyDescent="0.25">
      <c r="AE650217" s="36"/>
      <c r="AF650217" s="36"/>
    </row>
    <row r="650313" spans="31:32" x14ac:dyDescent="0.25">
      <c r="AE650313" s="34"/>
      <c r="AF650313" s="34"/>
    </row>
    <row r="650321" spans="31:32" x14ac:dyDescent="0.25">
      <c r="AE650321" s="36"/>
      <c r="AF650321" s="36"/>
    </row>
    <row r="650417" spans="31:32" x14ac:dyDescent="0.25">
      <c r="AE650417" s="34"/>
      <c r="AF650417" s="34"/>
    </row>
    <row r="650425" spans="31:32" x14ac:dyDescent="0.25">
      <c r="AE650425" s="36"/>
      <c r="AF650425" s="36"/>
    </row>
    <row r="650521" spans="31:32" x14ac:dyDescent="0.25">
      <c r="AE650521" s="34"/>
      <c r="AF650521" s="34"/>
    </row>
    <row r="650529" spans="31:32" x14ac:dyDescent="0.25">
      <c r="AE650529" s="36"/>
      <c r="AF650529" s="36"/>
    </row>
    <row r="650625" spans="31:32" x14ac:dyDescent="0.25">
      <c r="AE650625" s="34"/>
      <c r="AF650625" s="34"/>
    </row>
    <row r="650633" spans="31:32" x14ac:dyDescent="0.25">
      <c r="AE650633" s="36"/>
      <c r="AF650633" s="36"/>
    </row>
    <row r="650729" spans="31:32" x14ac:dyDescent="0.25">
      <c r="AE650729" s="34"/>
      <c r="AF650729" s="34"/>
    </row>
    <row r="650737" spans="31:32" x14ac:dyDescent="0.25">
      <c r="AE650737" s="36"/>
      <c r="AF650737" s="36"/>
    </row>
    <row r="650833" spans="31:32" x14ac:dyDescent="0.25">
      <c r="AE650833" s="34"/>
      <c r="AF650833" s="34"/>
    </row>
    <row r="650841" spans="31:32" x14ac:dyDescent="0.25">
      <c r="AE650841" s="36"/>
      <c r="AF650841" s="36"/>
    </row>
    <row r="650937" spans="31:32" x14ac:dyDescent="0.25">
      <c r="AE650937" s="34"/>
      <c r="AF650937" s="34"/>
    </row>
    <row r="650945" spans="31:32" x14ac:dyDescent="0.25">
      <c r="AE650945" s="36"/>
      <c r="AF650945" s="36"/>
    </row>
    <row r="651041" spans="31:32" x14ac:dyDescent="0.25">
      <c r="AE651041" s="34"/>
      <c r="AF651041" s="34"/>
    </row>
    <row r="651049" spans="31:32" x14ac:dyDescent="0.25">
      <c r="AE651049" s="36"/>
      <c r="AF651049" s="36"/>
    </row>
    <row r="651145" spans="31:32" x14ac:dyDescent="0.25">
      <c r="AE651145" s="34"/>
      <c r="AF651145" s="34"/>
    </row>
    <row r="651153" spans="31:32" x14ac:dyDescent="0.25">
      <c r="AE651153" s="36"/>
      <c r="AF651153" s="36"/>
    </row>
    <row r="651249" spans="31:32" x14ac:dyDescent="0.25">
      <c r="AE651249" s="34"/>
      <c r="AF651249" s="34"/>
    </row>
    <row r="651257" spans="31:32" x14ac:dyDescent="0.25">
      <c r="AE651257" s="36"/>
      <c r="AF651257" s="36"/>
    </row>
    <row r="651353" spans="31:32" x14ac:dyDescent="0.25">
      <c r="AE651353" s="34"/>
      <c r="AF651353" s="34"/>
    </row>
    <row r="651361" spans="31:32" x14ac:dyDescent="0.25">
      <c r="AE651361" s="36"/>
      <c r="AF651361" s="36"/>
    </row>
    <row r="651457" spans="31:32" x14ac:dyDescent="0.25">
      <c r="AE651457" s="34"/>
      <c r="AF651457" s="34"/>
    </row>
    <row r="651465" spans="31:32" x14ac:dyDescent="0.25">
      <c r="AE651465" s="36"/>
      <c r="AF651465" s="36"/>
    </row>
    <row r="651561" spans="31:32" x14ac:dyDescent="0.25">
      <c r="AE651561" s="34"/>
      <c r="AF651561" s="34"/>
    </row>
    <row r="651569" spans="31:32" x14ac:dyDescent="0.25">
      <c r="AE651569" s="36"/>
      <c r="AF651569" s="36"/>
    </row>
    <row r="651665" spans="31:32" x14ac:dyDescent="0.25">
      <c r="AE651665" s="34"/>
      <c r="AF651665" s="34"/>
    </row>
    <row r="651673" spans="31:32" x14ac:dyDescent="0.25">
      <c r="AE651673" s="36"/>
      <c r="AF651673" s="36"/>
    </row>
    <row r="651769" spans="31:32" x14ac:dyDescent="0.25">
      <c r="AE651769" s="34"/>
      <c r="AF651769" s="34"/>
    </row>
    <row r="651777" spans="31:32" x14ac:dyDescent="0.25">
      <c r="AE651777" s="36"/>
      <c r="AF651777" s="36"/>
    </row>
    <row r="651873" spans="31:32" x14ac:dyDescent="0.25">
      <c r="AE651873" s="34"/>
      <c r="AF651873" s="34"/>
    </row>
    <row r="651881" spans="31:32" x14ac:dyDescent="0.25">
      <c r="AE651881" s="36"/>
      <c r="AF651881" s="36"/>
    </row>
    <row r="651977" spans="31:32" x14ac:dyDescent="0.25">
      <c r="AE651977" s="34"/>
      <c r="AF651977" s="34"/>
    </row>
    <row r="651985" spans="31:32" x14ac:dyDescent="0.25">
      <c r="AE651985" s="36"/>
      <c r="AF651985" s="36"/>
    </row>
    <row r="652081" spans="31:32" x14ac:dyDescent="0.25">
      <c r="AE652081" s="34"/>
      <c r="AF652081" s="34"/>
    </row>
    <row r="652089" spans="31:32" x14ac:dyDescent="0.25">
      <c r="AE652089" s="36"/>
      <c r="AF652089" s="36"/>
    </row>
    <row r="652185" spans="31:32" x14ac:dyDescent="0.25">
      <c r="AE652185" s="34"/>
      <c r="AF652185" s="34"/>
    </row>
    <row r="652193" spans="31:32" x14ac:dyDescent="0.25">
      <c r="AE652193" s="36"/>
      <c r="AF652193" s="36"/>
    </row>
    <row r="652289" spans="31:32" x14ac:dyDescent="0.25">
      <c r="AE652289" s="34"/>
      <c r="AF652289" s="34"/>
    </row>
    <row r="652297" spans="31:32" x14ac:dyDescent="0.25">
      <c r="AE652297" s="36"/>
      <c r="AF652297" s="36"/>
    </row>
    <row r="652393" spans="31:32" x14ac:dyDescent="0.25">
      <c r="AE652393" s="34"/>
      <c r="AF652393" s="34"/>
    </row>
    <row r="652401" spans="31:32" x14ac:dyDescent="0.25">
      <c r="AE652401" s="36"/>
      <c r="AF652401" s="36"/>
    </row>
    <row r="652497" spans="31:32" x14ac:dyDescent="0.25">
      <c r="AE652497" s="34"/>
      <c r="AF652497" s="34"/>
    </row>
    <row r="652505" spans="31:32" x14ac:dyDescent="0.25">
      <c r="AE652505" s="36"/>
      <c r="AF652505" s="36"/>
    </row>
    <row r="652601" spans="31:32" x14ac:dyDescent="0.25">
      <c r="AE652601" s="34"/>
      <c r="AF652601" s="34"/>
    </row>
    <row r="652609" spans="31:32" x14ac:dyDescent="0.25">
      <c r="AE652609" s="36"/>
      <c r="AF652609" s="36"/>
    </row>
    <row r="652705" spans="31:32" x14ac:dyDescent="0.25">
      <c r="AE652705" s="34"/>
      <c r="AF652705" s="34"/>
    </row>
    <row r="652713" spans="31:32" x14ac:dyDescent="0.25">
      <c r="AE652713" s="36"/>
      <c r="AF652713" s="36"/>
    </row>
    <row r="652809" spans="31:32" x14ac:dyDescent="0.25">
      <c r="AE652809" s="34"/>
      <c r="AF652809" s="34"/>
    </row>
    <row r="652817" spans="31:32" x14ac:dyDescent="0.25">
      <c r="AE652817" s="36"/>
      <c r="AF652817" s="36"/>
    </row>
    <row r="652913" spans="31:32" x14ac:dyDescent="0.25">
      <c r="AE652913" s="34"/>
      <c r="AF652913" s="34"/>
    </row>
    <row r="652921" spans="31:32" x14ac:dyDescent="0.25">
      <c r="AE652921" s="36"/>
      <c r="AF652921" s="36"/>
    </row>
    <row r="653017" spans="31:32" x14ac:dyDescent="0.25">
      <c r="AE653017" s="34"/>
      <c r="AF653017" s="34"/>
    </row>
    <row r="653025" spans="31:32" x14ac:dyDescent="0.25">
      <c r="AE653025" s="36"/>
      <c r="AF653025" s="36"/>
    </row>
    <row r="653121" spans="31:32" x14ac:dyDescent="0.25">
      <c r="AE653121" s="34"/>
      <c r="AF653121" s="34"/>
    </row>
    <row r="653129" spans="31:32" x14ac:dyDescent="0.25">
      <c r="AE653129" s="36"/>
      <c r="AF653129" s="36"/>
    </row>
    <row r="653225" spans="31:32" x14ac:dyDescent="0.25">
      <c r="AE653225" s="34"/>
      <c r="AF653225" s="34"/>
    </row>
    <row r="653233" spans="31:32" x14ac:dyDescent="0.25">
      <c r="AE653233" s="36"/>
      <c r="AF653233" s="36"/>
    </row>
    <row r="653329" spans="31:32" x14ac:dyDescent="0.25">
      <c r="AE653329" s="34"/>
      <c r="AF653329" s="34"/>
    </row>
    <row r="653337" spans="31:32" x14ac:dyDescent="0.25">
      <c r="AE653337" s="36"/>
      <c r="AF653337" s="36"/>
    </row>
    <row r="653433" spans="31:32" x14ac:dyDescent="0.25">
      <c r="AE653433" s="34"/>
      <c r="AF653433" s="34"/>
    </row>
    <row r="653441" spans="31:32" x14ac:dyDescent="0.25">
      <c r="AE653441" s="36"/>
      <c r="AF653441" s="36"/>
    </row>
    <row r="653537" spans="31:32" x14ac:dyDescent="0.25">
      <c r="AE653537" s="34"/>
      <c r="AF653537" s="34"/>
    </row>
    <row r="653545" spans="31:32" x14ac:dyDescent="0.25">
      <c r="AE653545" s="36"/>
      <c r="AF653545" s="36"/>
    </row>
    <row r="653641" spans="31:32" x14ac:dyDescent="0.25">
      <c r="AE653641" s="34"/>
      <c r="AF653641" s="34"/>
    </row>
    <row r="653649" spans="31:32" x14ac:dyDescent="0.25">
      <c r="AE653649" s="36"/>
      <c r="AF653649" s="36"/>
    </row>
    <row r="653745" spans="31:32" x14ac:dyDescent="0.25">
      <c r="AE653745" s="34"/>
      <c r="AF653745" s="34"/>
    </row>
    <row r="653753" spans="31:32" x14ac:dyDescent="0.25">
      <c r="AE653753" s="36"/>
      <c r="AF653753" s="36"/>
    </row>
    <row r="653849" spans="31:32" x14ac:dyDescent="0.25">
      <c r="AE653849" s="34"/>
      <c r="AF653849" s="34"/>
    </row>
    <row r="653857" spans="31:32" x14ac:dyDescent="0.25">
      <c r="AE653857" s="36"/>
      <c r="AF653857" s="36"/>
    </row>
    <row r="653953" spans="31:32" x14ac:dyDescent="0.25">
      <c r="AE653953" s="34"/>
      <c r="AF653953" s="34"/>
    </row>
    <row r="653961" spans="31:32" x14ac:dyDescent="0.25">
      <c r="AE653961" s="36"/>
      <c r="AF653961" s="36"/>
    </row>
    <row r="654057" spans="31:32" x14ac:dyDescent="0.25">
      <c r="AE654057" s="34"/>
      <c r="AF654057" s="34"/>
    </row>
    <row r="654065" spans="31:32" x14ac:dyDescent="0.25">
      <c r="AE654065" s="36"/>
      <c r="AF654065" s="36"/>
    </row>
    <row r="654161" spans="31:32" x14ac:dyDescent="0.25">
      <c r="AE654161" s="34"/>
      <c r="AF654161" s="34"/>
    </row>
    <row r="654169" spans="31:32" x14ac:dyDescent="0.25">
      <c r="AE654169" s="36"/>
      <c r="AF654169" s="36"/>
    </row>
    <row r="654265" spans="31:32" x14ac:dyDescent="0.25">
      <c r="AE654265" s="34"/>
      <c r="AF654265" s="34"/>
    </row>
    <row r="654273" spans="31:32" x14ac:dyDescent="0.25">
      <c r="AE654273" s="36"/>
      <c r="AF654273" s="36"/>
    </row>
    <row r="654369" spans="31:32" x14ac:dyDescent="0.25">
      <c r="AE654369" s="34"/>
      <c r="AF654369" s="34"/>
    </row>
    <row r="654377" spans="31:32" x14ac:dyDescent="0.25">
      <c r="AE654377" s="36"/>
      <c r="AF654377" s="36"/>
    </row>
    <row r="654473" spans="31:32" x14ac:dyDescent="0.25">
      <c r="AE654473" s="34"/>
      <c r="AF654473" s="34"/>
    </row>
    <row r="654481" spans="31:32" x14ac:dyDescent="0.25">
      <c r="AE654481" s="36"/>
      <c r="AF654481" s="36"/>
    </row>
    <row r="654577" spans="31:32" x14ac:dyDescent="0.25">
      <c r="AE654577" s="34"/>
      <c r="AF654577" s="34"/>
    </row>
    <row r="654585" spans="31:32" x14ac:dyDescent="0.25">
      <c r="AE654585" s="36"/>
      <c r="AF654585" s="36"/>
    </row>
    <row r="654681" spans="31:32" x14ac:dyDescent="0.25">
      <c r="AE654681" s="34"/>
      <c r="AF654681" s="34"/>
    </row>
    <row r="654689" spans="31:32" x14ac:dyDescent="0.25">
      <c r="AE654689" s="36"/>
      <c r="AF654689" s="36"/>
    </row>
    <row r="654785" spans="31:32" x14ac:dyDescent="0.25">
      <c r="AE654785" s="34"/>
      <c r="AF654785" s="34"/>
    </row>
    <row r="654793" spans="31:32" x14ac:dyDescent="0.25">
      <c r="AE654793" s="36"/>
      <c r="AF654793" s="36"/>
    </row>
    <row r="654889" spans="31:32" x14ac:dyDescent="0.25">
      <c r="AE654889" s="34"/>
      <c r="AF654889" s="34"/>
    </row>
    <row r="654897" spans="31:32" x14ac:dyDescent="0.25">
      <c r="AE654897" s="36"/>
      <c r="AF654897" s="36"/>
    </row>
    <row r="654993" spans="31:32" x14ac:dyDescent="0.25">
      <c r="AE654993" s="34"/>
      <c r="AF654993" s="34"/>
    </row>
    <row r="655001" spans="31:32" x14ac:dyDescent="0.25">
      <c r="AE655001" s="36"/>
      <c r="AF655001" s="36"/>
    </row>
    <row r="655097" spans="31:32" x14ac:dyDescent="0.25">
      <c r="AE655097" s="34"/>
      <c r="AF655097" s="34"/>
    </row>
    <row r="655105" spans="31:32" x14ac:dyDescent="0.25">
      <c r="AE655105" s="36"/>
      <c r="AF655105" s="36"/>
    </row>
    <row r="655201" spans="31:32" x14ac:dyDescent="0.25">
      <c r="AE655201" s="34"/>
      <c r="AF655201" s="34"/>
    </row>
    <row r="655209" spans="31:32" x14ac:dyDescent="0.25">
      <c r="AE655209" s="36"/>
      <c r="AF655209" s="36"/>
    </row>
    <row r="655305" spans="31:32" x14ac:dyDescent="0.25">
      <c r="AE655305" s="34"/>
      <c r="AF655305" s="34"/>
    </row>
    <row r="655313" spans="31:32" x14ac:dyDescent="0.25">
      <c r="AE655313" s="36"/>
      <c r="AF655313" s="36"/>
    </row>
    <row r="655409" spans="31:32" x14ac:dyDescent="0.25">
      <c r="AE655409" s="34"/>
      <c r="AF655409" s="34"/>
    </row>
    <row r="655417" spans="31:32" x14ac:dyDescent="0.25">
      <c r="AE655417" s="36"/>
      <c r="AF655417" s="36"/>
    </row>
    <row r="655513" spans="31:32" x14ac:dyDescent="0.25">
      <c r="AE655513" s="34"/>
      <c r="AF655513" s="34"/>
    </row>
    <row r="655521" spans="31:32" x14ac:dyDescent="0.25">
      <c r="AE655521" s="36"/>
      <c r="AF655521" s="36"/>
    </row>
    <row r="655617" spans="31:32" x14ac:dyDescent="0.25">
      <c r="AE655617" s="34"/>
      <c r="AF655617" s="34"/>
    </row>
    <row r="655625" spans="31:32" x14ac:dyDescent="0.25">
      <c r="AE655625" s="36"/>
      <c r="AF655625" s="36"/>
    </row>
    <row r="655721" spans="31:32" x14ac:dyDescent="0.25">
      <c r="AE655721" s="34"/>
      <c r="AF655721" s="34"/>
    </row>
    <row r="655729" spans="31:32" x14ac:dyDescent="0.25">
      <c r="AE655729" s="36"/>
      <c r="AF655729" s="36"/>
    </row>
    <row r="655825" spans="31:32" x14ac:dyDescent="0.25">
      <c r="AE655825" s="34"/>
      <c r="AF655825" s="34"/>
    </row>
    <row r="655833" spans="31:32" x14ac:dyDescent="0.25">
      <c r="AE655833" s="36"/>
      <c r="AF655833" s="36"/>
    </row>
    <row r="655929" spans="31:32" x14ac:dyDescent="0.25">
      <c r="AE655929" s="34"/>
      <c r="AF655929" s="34"/>
    </row>
    <row r="655937" spans="31:32" x14ac:dyDescent="0.25">
      <c r="AE655937" s="36"/>
      <c r="AF655937" s="36"/>
    </row>
    <row r="656033" spans="31:32" x14ac:dyDescent="0.25">
      <c r="AE656033" s="34"/>
      <c r="AF656033" s="34"/>
    </row>
    <row r="656041" spans="31:32" x14ac:dyDescent="0.25">
      <c r="AE656041" s="36"/>
      <c r="AF656041" s="36"/>
    </row>
    <row r="656137" spans="31:32" x14ac:dyDescent="0.25">
      <c r="AE656137" s="34"/>
      <c r="AF656137" s="34"/>
    </row>
    <row r="656145" spans="31:32" x14ac:dyDescent="0.25">
      <c r="AE656145" s="36"/>
      <c r="AF656145" s="36"/>
    </row>
    <row r="656241" spans="31:32" x14ac:dyDescent="0.25">
      <c r="AE656241" s="34"/>
      <c r="AF656241" s="34"/>
    </row>
    <row r="656249" spans="31:32" x14ac:dyDescent="0.25">
      <c r="AE656249" s="36"/>
      <c r="AF656249" s="36"/>
    </row>
    <row r="656345" spans="31:32" x14ac:dyDescent="0.25">
      <c r="AE656345" s="34"/>
      <c r="AF656345" s="34"/>
    </row>
    <row r="656353" spans="31:32" x14ac:dyDescent="0.25">
      <c r="AE656353" s="36"/>
      <c r="AF656353" s="36"/>
    </row>
    <row r="656449" spans="31:32" x14ac:dyDescent="0.25">
      <c r="AE656449" s="34"/>
      <c r="AF656449" s="34"/>
    </row>
    <row r="656457" spans="31:32" x14ac:dyDescent="0.25">
      <c r="AE656457" s="36"/>
      <c r="AF656457" s="36"/>
    </row>
    <row r="656553" spans="31:32" x14ac:dyDescent="0.25">
      <c r="AE656553" s="34"/>
      <c r="AF656553" s="34"/>
    </row>
    <row r="656561" spans="31:32" x14ac:dyDescent="0.25">
      <c r="AE656561" s="36"/>
      <c r="AF656561" s="36"/>
    </row>
    <row r="656657" spans="31:32" x14ac:dyDescent="0.25">
      <c r="AE656657" s="34"/>
      <c r="AF656657" s="34"/>
    </row>
    <row r="656665" spans="31:32" x14ac:dyDescent="0.25">
      <c r="AE656665" s="36"/>
      <c r="AF656665" s="36"/>
    </row>
    <row r="656761" spans="31:32" x14ac:dyDescent="0.25">
      <c r="AE656761" s="34"/>
      <c r="AF656761" s="34"/>
    </row>
    <row r="656769" spans="31:32" x14ac:dyDescent="0.25">
      <c r="AE656769" s="36"/>
      <c r="AF656769" s="36"/>
    </row>
    <row r="656865" spans="31:32" x14ac:dyDescent="0.25">
      <c r="AE656865" s="34"/>
      <c r="AF656865" s="34"/>
    </row>
    <row r="656873" spans="31:32" x14ac:dyDescent="0.25">
      <c r="AE656873" s="36"/>
      <c r="AF656873" s="36"/>
    </row>
    <row r="656969" spans="31:32" x14ac:dyDescent="0.25">
      <c r="AE656969" s="34"/>
      <c r="AF656969" s="34"/>
    </row>
    <row r="656977" spans="31:32" x14ac:dyDescent="0.25">
      <c r="AE656977" s="36"/>
      <c r="AF656977" s="36"/>
    </row>
    <row r="657073" spans="31:32" x14ac:dyDescent="0.25">
      <c r="AE657073" s="34"/>
      <c r="AF657073" s="34"/>
    </row>
    <row r="657081" spans="31:32" x14ac:dyDescent="0.25">
      <c r="AE657081" s="36"/>
      <c r="AF657081" s="36"/>
    </row>
    <row r="657177" spans="31:32" x14ac:dyDescent="0.25">
      <c r="AE657177" s="34"/>
      <c r="AF657177" s="34"/>
    </row>
    <row r="657185" spans="31:32" x14ac:dyDescent="0.25">
      <c r="AE657185" s="36"/>
      <c r="AF657185" s="36"/>
    </row>
    <row r="657281" spans="31:32" x14ac:dyDescent="0.25">
      <c r="AE657281" s="34"/>
      <c r="AF657281" s="34"/>
    </row>
    <row r="657289" spans="31:32" x14ac:dyDescent="0.25">
      <c r="AE657289" s="36"/>
      <c r="AF657289" s="36"/>
    </row>
    <row r="657385" spans="31:32" x14ac:dyDescent="0.25">
      <c r="AE657385" s="34"/>
      <c r="AF657385" s="34"/>
    </row>
    <row r="657393" spans="31:32" x14ac:dyDescent="0.25">
      <c r="AE657393" s="36"/>
      <c r="AF657393" s="36"/>
    </row>
    <row r="657489" spans="31:32" x14ac:dyDescent="0.25">
      <c r="AE657489" s="34"/>
      <c r="AF657489" s="34"/>
    </row>
    <row r="657497" spans="31:32" x14ac:dyDescent="0.25">
      <c r="AE657497" s="36"/>
      <c r="AF657497" s="36"/>
    </row>
    <row r="657593" spans="31:32" x14ac:dyDescent="0.25">
      <c r="AE657593" s="34"/>
      <c r="AF657593" s="34"/>
    </row>
    <row r="657601" spans="31:32" x14ac:dyDescent="0.25">
      <c r="AE657601" s="36"/>
      <c r="AF657601" s="36"/>
    </row>
    <row r="657697" spans="31:32" x14ac:dyDescent="0.25">
      <c r="AE657697" s="34"/>
      <c r="AF657697" s="34"/>
    </row>
    <row r="657705" spans="31:32" x14ac:dyDescent="0.25">
      <c r="AE657705" s="36"/>
      <c r="AF657705" s="36"/>
    </row>
    <row r="657801" spans="31:32" x14ac:dyDescent="0.25">
      <c r="AE657801" s="34"/>
      <c r="AF657801" s="34"/>
    </row>
    <row r="657809" spans="31:32" x14ac:dyDescent="0.25">
      <c r="AE657809" s="36"/>
      <c r="AF657809" s="36"/>
    </row>
    <row r="657905" spans="31:32" x14ac:dyDescent="0.25">
      <c r="AE657905" s="34"/>
      <c r="AF657905" s="34"/>
    </row>
    <row r="657913" spans="31:32" x14ac:dyDescent="0.25">
      <c r="AE657913" s="36"/>
      <c r="AF657913" s="36"/>
    </row>
    <row r="658009" spans="31:32" x14ac:dyDescent="0.25">
      <c r="AE658009" s="34"/>
      <c r="AF658009" s="34"/>
    </row>
    <row r="658017" spans="31:32" x14ac:dyDescent="0.25">
      <c r="AE658017" s="36"/>
      <c r="AF658017" s="36"/>
    </row>
    <row r="658113" spans="31:32" x14ac:dyDescent="0.25">
      <c r="AE658113" s="34"/>
      <c r="AF658113" s="34"/>
    </row>
    <row r="658121" spans="31:32" x14ac:dyDescent="0.25">
      <c r="AE658121" s="36"/>
      <c r="AF658121" s="36"/>
    </row>
    <row r="658217" spans="31:32" x14ac:dyDescent="0.25">
      <c r="AE658217" s="34"/>
      <c r="AF658217" s="34"/>
    </row>
    <row r="658225" spans="31:32" x14ac:dyDescent="0.25">
      <c r="AE658225" s="36"/>
      <c r="AF658225" s="36"/>
    </row>
    <row r="658321" spans="31:32" x14ac:dyDescent="0.25">
      <c r="AE658321" s="34"/>
      <c r="AF658321" s="34"/>
    </row>
    <row r="658329" spans="31:32" x14ac:dyDescent="0.25">
      <c r="AE658329" s="36"/>
      <c r="AF658329" s="36"/>
    </row>
    <row r="658425" spans="31:32" x14ac:dyDescent="0.25">
      <c r="AE658425" s="34"/>
      <c r="AF658425" s="34"/>
    </row>
    <row r="658433" spans="31:32" x14ac:dyDescent="0.25">
      <c r="AE658433" s="36"/>
      <c r="AF658433" s="36"/>
    </row>
    <row r="658529" spans="31:32" x14ac:dyDescent="0.25">
      <c r="AE658529" s="34"/>
      <c r="AF658529" s="34"/>
    </row>
    <row r="658537" spans="31:32" x14ac:dyDescent="0.25">
      <c r="AE658537" s="36"/>
      <c r="AF658537" s="36"/>
    </row>
    <row r="658633" spans="31:32" x14ac:dyDescent="0.25">
      <c r="AE658633" s="34"/>
      <c r="AF658633" s="34"/>
    </row>
    <row r="658641" spans="31:32" x14ac:dyDescent="0.25">
      <c r="AE658641" s="36"/>
      <c r="AF658641" s="36"/>
    </row>
    <row r="658737" spans="31:32" x14ac:dyDescent="0.25">
      <c r="AE658737" s="34"/>
      <c r="AF658737" s="34"/>
    </row>
    <row r="658745" spans="31:32" x14ac:dyDescent="0.25">
      <c r="AE658745" s="36"/>
      <c r="AF658745" s="36"/>
    </row>
    <row r="658841" spans="31:32" x14ac:dyDescent="0.25">
      <c r="AE658841" s="34"/>
      <c r="AF658841" s="34"/>
    </row>
    <row r="658849" spans="31:32" x14ac:dyDescent="0.25">
      <c r="AE658849" s="36"/>
      <c r="AF658849" s="36"/>
    </row>
    <row r="658945" spans="31:32" x14ac:dyDescent="0.25">
      <c r="AE658945" s="34"/>
      <c r="AF658945" s="34"/>
    </row>
    <row r="658953" spans="31:32" x14ac:dyDescent="0.25">
      <c r="AE658953" s="36"/>
      <c r="AF658953" s="36"/>
    </row>
    <row r="659049" spans="31:32" x14ac:dyDescent="0.25">
      <c r="AE659049" s="34"/>
      <c r="AF659049" s="34"/>
    </row>
    <row r="659057" spans="31:32" x14ac:dyDescent="0.25">
      <c r="AE659057" s="36"/>
      <c r="AF659057" s="36"/>
    </row>
    <row r="659153" spans="31:32" x14ac:dyDescent="0.25">
      <c r="AE659153" s="34"/>
      <c r="AF659153" s="34"/>
    </row>
    <row r="659161" spans="31:32" x14ac:dyDescent="0.25">
      <c r="AE659161" s="36"/>
      <c r="AF659161" s="36"/>
    </row>
    <row r="659257" spans="31:32" x14ac:dyDescent="0.25">
      <c r="AE659257" s="34"/>
      <c r="AF659257" s="34"/>
    </row>
    <row r="659265" spans="31:32" x14ac:dyDescent="0.25">
      <c r="AE659265" s="36"/>
      <c r="AF659265" s="36"/>
    </row>
    <row r="659361" spans="31:32" x14ac:dyDescent="0.25">
      <c r="AE659361" s="34"/>
      <c r="AF659361" s="34"/>
    </row>
    <row r="659369" spans="31:32" x14ac:dyDescent="0.25">
      <c r="AE659369" s="36"/>
      <c r="AF659369" s="36"/>
    </row>
    <row r="659465" spans="31:32" x14ac:dyDescent="0.25">
      <c r="AE659465" s="34"/>
      <c r="AF659465" s="34"/>
    </row>
    <row r="659473" spans="31:32" x14ac:dyDescent="0.25">
      <c r="AE659473" s="36"/>
      <c r="AF659473" s="36"/>
    </row>
    <row r="659569" spans="31:32" x14ac:dyDescent="0.25">
      <c r="AE659569" s="34"/>
      <c r="AF659569" s="34"/>
    </row>
    <row r="659577" spans="31:32" x14ac:dyDescent="0.25">
      <c r="AE659577" s="36"/>
      <c r="AF659577" s="36"/>
    </row>
    <row r="659673" spans="31:32" x14ac:dyDescent="0.25">
      <c r="AE659673" s="34"/>
      <c r="AF659673" s="34"/>
    </row>
    <row r="659681" spans="31:32" x14ac:dyDescent="0.25">
      <c r="AE659681" s="36"/>
      <c r="AF659681" s="36"/>
    </row>
    <row r="659777" spans="31:32" x14ac:dyDescent="0.25">
      <c r="AE659777" s="34"/>
      <c r="AF659777" s="34"/>
    </row>
    <row r="659785" spans="31:32" x14ac:dyDescent="0.25">
      <c r="AE659785" s="36"/>
      <c r="AF659785" s="36"/>
    </row>
    <row r="659881" spans="31:32" x14ac:dyDescent="0.25">
      <c r="AE659881" s="34"/>
      <c r="AF659881" s="34"/>
    </row>
    <row r="659889" spans="31:32" x14ac:dyDescent="0.25">
      <c r="AE659889" s="36"/>
      <c r="AF659889" s="36"/>
    </row>
    <row r="659985" spans="31:32" x14ac:dyDescent="0.25">
      <c r="AE659985" s="34"/>
      <c r="AF659985" s="34"/>
    </row>
    <row r="659993" spans="31:32" x14ac:dyDescent="0.25">
      <c r="AE659993" s="36"/>
      <c r="AF659993" s="36"/>
    </row>
    <row r="660089" spans="31:32" x14ac:dyDescent="0.25">
      <c r="AE660089" s="34"/>
      <c r="AF660089" s="34"/>
    </row>
    <row r="660097" spans="31:32" x14ac:dyDescent="0.25">
      <c r="AE660097" s="36"/>
      <c r="AF660097" s="36"/>
    </row>
    <row r="660193" spans="31:32" x14ac:dyDescent="0.25">
      <c r="AE660193" s="34"/>
      <c r="AF660193" s="34"/>
    </row>
    <row r="660201" spans="31:32" x14ac:dyDescent="0.25">
      <c r="AE660201" s="36"/>
      <c r="AF660201" s="36"/>
    </row>
    <row r="660297" spans="31:32" x14ac:dyDescent="0.25">
      <c r="AE660297" s="34"/>
      <c r="AF660297" s="34"/>
    </row>
    <row r="660305" spans="31:32" x14ac:dyDescent="0.25">
      <c r="AE660305" s="36"/>
      <c r="AF660305" s="36"/>
    </row>
    <row r="660401" spans="31:32" x14ac:dyDescent="0.25">
      <c r="AE660401" s="34"/>
      <c r="AF660401" s="34"/>
    </row>
    <row r="660409" spans="31:32" x14ac:dyDescent="0.25">
      <c r="AE660409" s="36"/>
      <c r="AF660409" s="36"/>
    </row>
    <row r="660505" spans="31:32" x14ac:dyDescent="0.25">
      <c r="AE660505" s="34"/>
      <c r="AF660505" s="34"/>
    </row>
    <row r="660513" spans="31:32" x14ac:dyDescent="0.25">
      <c r="AE660513" s="36"/>
      <c r="AF660513" s="36"/>
    </row>
    <row r="660609" spans="31:32" x14ac:dyDescent="0.25">
      <c r="AE660609" s="34"/>
      <c r="AF660609" s="34"/>
    </row>
    <row r="660617" spans="31:32" x14ac:dyDescent="0.25">
      <c r="AE660617" s="36"/>
      <c r="AF660617" s="36"/>
    </row>
    <row r="660713" spans="31:32" x14ac:dyDescent="0.25">
      <c r="AE660713" s="34"/>
      <c r="AF660713" s="34"/>
    </row>
    <row r="660721" spans="31:32" x14ac:dyDescent="0.25">
      <c r="AE660721" s="36"/>
      <c r="AF660721" s="36"/>
    </row>
    <row r="660817" spans="31:32" x14ac:dyDescent="0.25">
      <c r="AE660817" s="34"/>
      <c r="AF660817" s="34"/>
    </row>
    <row r="660825" spans="31:32" x14ac:dyDescent="0.25">
      <c r="AE660825" s="36"/>
      <c r="AF660825" s="36"/>
    </row>
    <row r="660921" spans="31:32" x14ac:dyDescent="0.25">
      <c r="AE660921" s="34"/>
      <c r="AF660921" s="34"/>
    </row>
    <row r="660929" spans="31:32" x14ac:dyDescent="0.25">
      <c r="AE660929" s="36"/>
      <c r="AF660929" s="36"/>
    </row>
    <row r="661025" spans="31:32" x14ac:dyDescent="0.25">
      <c r="AE661025" s="34"/>
      <c r="AF661025" s="34"/>
    </row>
    <row r="661033" spans="31:32" x14ac:dyDescent="0.25">
      <c r="AE661033" s="36"/>
      <c r="AF661033" s="36"/>
    </row>
    <row r="661129" spans="31:32" x14ac:dyDescent="0.25">
      <c r="AE661129" s="34"/>
      <c r="AF661129" s="34"/>
    </row>
    <row r="661137" spans="31:32" x14ac:dyDescent="0.25">
      <c r="AE661137" s="36"/>
      <c r="AF661137" s="36"/>
    </row>
    <row r="661233" spans="31:32" x14ac:dyDescent="0.25">
      <c r="AE661233" s="34"/>
      <c r="AF661233" s="34"/>
    </row>
    <row r="661241" spans="31:32" x14ac:dyDescent="0.25">
      <c r="AE661241" s="36"/>
      <c r="AF661241" s="36"/>
    </row>
    <row r="661337" spans="31:32" x14ac:dyDescent="0.25">
      <c r="AE661337" s="34"/>
      <c r="AF661337" s="34"/>
    </row>
    <row r="661345" spans="31:32" x14ac:dyDescent="0.25">
      <c r="AE661345" s="36"/>
      <c r="AF661345" s="36"/>
    </row>
    <row r="661441" spans="31:32" x14ac:dyDescent="0.25">
      <c r="AE661441" s="34"/>
      <c r="AF661441" s="34"/>
    </row>
    <row r="661449" spans="31:32" x14ac:dyDescent="0.25">
      <c r="AE661449" s="36"/>
      <c r="AF661449" s="36"/>
    </row>
    <row r="661545" spans="31:32" x14ac:dyDescent="0.25">
      <c r="AE661545" s="34"/>
      <c r="AF661545" s="34"/>
    </row>
    <row r="661553" spans="31:32" x14ac:dyDescent="0.25">
      <c r="AE661553" s="36"/>
      <c r="AF661553" s="36"/>
    </row>
    <row r="661649" spans="31:32" x14ac:dyDescent="0.25">
      <c r="AE661649" s="34"/>
      <c r="AF661649" s="34"/>
    </row>
    <row r="661657" spans="31:32" x14ac:dyDescent="0.25">
      <c r="AE661657" s="36"/>
      <c r="AF661657" s="36"/>
    </row>
    <row r="661753" spans="31:32" x14ac:dyDescent="0.25">
      <c r="AE661753" s="34"/>
      <c r="AF661753" s="34"/>
    </row>
    <row r="661761" spans="31:32" x14ac:dyDescent="0.25">
      <c r="AE661761" s="36"/>
      <c r="AF661761" s="36"/>
    </row>
    <row r="661857" spans="31:32" x14ac:dyDescent="0.25">
      <c r="AE661857" s="34"/>
      <c r="AF661857" s="34"/>
    </row>
    <row r="661865" spans="31:32" x14ac:dyDescent="0.25">
      <c r="AE661865" s="36"/>
      <c r="AF661865" s="36"/>
    </row>
    <row r="661961" spans="31:32" x14ac:dyDescent="0.25">
      <c r="AE661961" s="34"/>
      <c r="AF661961" s="34"/>
    </row>
    <row r="661969" spans="31:32" x14ac:dyDescent="0.25">
      <c r="AE661969" s="36"/>
      <c r="AF661969" s="36"/>
    </row>
    <row r="662065" spans="31:32" x14ac:dyDescent="0.25">
      <c r="AE662065" s="34"/>
      <c r="AF662065" s="34"/>
    </row>
    <row r="662073" spans="31:32" x14ac:dyDescent="0.25">
      <c r="AE662073" s="36"/>
      <c r="AF662073" s="36"/>
    </row>
    <row r="662169" spans="31:32" x14ac:dyDescent="0.25">
      <c r="AE662169" s="34"/>
      <c r="AF662169" s="34"/>
    </row>
    <row r="662177" spans="31:32" x14ac:dyDescent="0.25">
      <c r="AE662177" s="36"/>
      <c r="AF662177" s="36"/>
    </row>
    <row r="662273" spans="31:32" x14ac:dyDescent="0.25">
      <c r="AE662273" s="34"/>
      <c r="AF662273" s="34"/>
    </row>
    <row r="662281" spans="31:32" x14ac:dyDescent="0.25">
      <c r="AE662281" s="36"/>
      <c r="AF662281" s="36"/>
    </row>
    <row r="662377" spans="31:32" x14ac:dyDescent="0.25">
      <c r="AE662377" s="34"/>
      <c r="AF662377" s="34"/>
    </row>
    <row r="662385" spans="31:32" x14ac:dyDescent="0.25">
      <c r="AE662385" s="36"/>
      <c r="AF662385" s="36"/>
    </row>
    <row r="662481" spans="31:32" x14ac:dyDescent="0.25">
      <c r="AE662481" s="34"/>
      <c r="AF662481" s="34"/>
    </row>
    <row r="662489" spans="31:32" x14ac:dyDescent="0.25">
      <c r="AE662489" s="36"/>
      <c r="AF662489" s="36"/>
    </row>
    <row r="662585" spans="31:32" x14ac:dyDescent="0.25">
      <c r="AE662585" s="34"/>
      <c r="AF662585" s="34"/>
    </row>
    <row r="662593" spans="31:32" x14ac:dyDescent="0.25">
      <c r="AE662593" s="36"/>
      <c r="AF662593" s="36"/>
    </row>
    <row r="662689" spans="31:32" x14ac:dyDescent="0.25">
      <c r="AE662689" s="34"/>
      <c r="AF662689" s="34"/>
    </row>
    <row r="662697" spans="31:32" x14ac:dyDescent="0.25">
      <c r="AE662697" s="36"/>
      <c r="AF662697" s="36"/>
    </row>
    <row r="662793" spans="31:32" x14ac:dyDescent="0.25">
      <c r="AE662793" s="34"/>
      <c r="AF662793" s="34"/>
    </row>
    <row r="662801" spans="31:32" x14ac:dyDescent="0.25">
      <c r="AE662801" s="36"/>
      <c r="AF662801" s="36"/>
    </row>
    <row r="662897" spans="31:32" x14ac:dyDescent="0.25">
      <c r="AE662897" s="34"/>
      <c r="AF662897" s="34"/>
    </row>
    <row r="662905" spans="31:32" x14ac:dyDescent="0.25">
      <c r="AE662905" s="36"/>
      <c r="AF662905" s="36"/>
    </row>
    <row r="663001" spans="31:32" x14ac:dyDescent="0.25">
      <c r="AE663001" s="34"/>
      <c r="AF663001" s="34"/>
    </row>
    <row r="663009" spans="31:32" x14ac:dyDescent="0.25">
      <c r="AE663009" s="36"/>
      <c r="AF663009" s="36"/>
    </row>
    <row r="663105" spans="31:32" x14ac:dyDescent="0.25">
      <c r="AE663105" s="34"/>
      <c r="AF663105" s="34"/>
    </row>
    <row r="663113" spans="31:32" x14ac:dyDescent="0.25">
      <c r="AE663113" s="36"/>
      <c r="AF663113" s="36"/>
    </row>
    <row r="663209" spans="31:32" x14ac:dyDescent="0.25">
      <c r="AE663209" s="34"/>
      <c r="AF663209" s="34"/>
    </row>
    <row r="663217" spans="31:32" x14ac:dyDescent="0.25">
      <c r="AE663217" s="36"/>
      <c r="AF663217" s="36"/>
    </row>
    <row r="663313" spans="31:32" x14ac:dyDescent="0.25">
      <c r="AE663313" s="34"/>
      <c r="AF663313" s="34"/>
    </row>
    <row r="663321" spans="31:32" x14ac:dyDescent="0.25">
      <c r="AE663321" s="36"/>
      <c r="AF663321" s="36"/>
    </row>
    <row r="663417" spans="31:32" x14ac:dyDescent="0.25">
      <c r="AE663417" s="34"/>
      <c r="AF663417" s="34"/>
    </row>
    <row r="663425" spans="31:32" x14ac:dyDescent="0.25">
      <c r="AE663425" s="36"/>
      <c r="AF663425" s="36"/>
    </row>
    <row r="663521" spans="31:32" x14ac:dyDescent="0.25">
      <c r="AE663521" s="34"/>
      <c r="AF663521" s="34"/>
    </row>
    <row r="663529" spans="31:32" x14ac:dyDescent="0.25">
      <c r="AE663529" s="36"/>
      <c r="AF663529" s="36"/>
    </row>
    <row r="663625" spans="31:32" x14ac:dyDescent="0.25">
      <c r="AE663625" s="34"/>
      <c r="AF663625" s="34"/>
    </row>
    <row r="663633" spans="31:32" x14ac:dyDescent="0.25">
      <c r="AE663633" s="36"/>
      <c r="AF663633" s="36"/>
    </row>
    <row r="663729" spans="31:32" x14ac:dyDescent="0.25">
      <c r="AE663729" s="34"/>
      <c r="AF663729" s="34"/>
    </row>
    <row r="663737" spans="31:32" x14ac:dyDescent="0.25">
      <c r="AE663737" s="36"/>
      <c r="AF663737" s="36"/>
    </row>
    <row r="663833" spans="31:32" x14ac:dyDescent="0.25">
      <c r="AE663833" s="34"/>
      <c r="AF663833" s="34"/>
    </row>
    <row r="663841" spans="31:32" x14ac:dyDescent="0.25">
      <c r="AE663841" s="36"/>
      <c r="AF663841" s="36"/>
    </row>
    <row r="663937" spans="31:32" x14ac:dyDescent="0.25">
      <c r="AE663937" s="34"/>
      <c r="AF663937" s="34"/>
    </row>
    <row r="663945" spans="31:32" x14ac:dyDescent="0.25">
      <c r="AE663945" s="36"/>
      <c r="AF663945" s="36"/>
    </row>
    <row r="664041" spans="31:32" x14ac:dyDescent="0.25">
      <c r="AE664041" s="34"/>
      <c r="AF664041" s="34"/>
    </row>
    <row r="664049" spans="31:32" x14ac:dyDescent="0.25">
      <c r="AE664049" s="36"/>
      <c r="AF664049" s="36"/>
    </row>
    <row r="664145" spans="31:32" x14ac:dyDescent="0.25">
      <c r="AE664145" s="34"/>
      <c r="AF664145" s="34"/>
    </row>
    <row r="664153" spans="31:32" x14ac:dyDescent="0.25">
      <c r="AE664153" s="36"/>
      <c r="AF664153" s="36"/>
    </row>
    <row r="664249" spans="31:32" x14ac:dyDescent="0.25">
      <c r="AE664249" s="34"/>
      <c r="AF664249" s="34"/>
    </row>
    <row r="664257" spans="31:32" x14ac:dyDescent="0.25">
      <c r="AE664257" s="36"/>
      <c r="AF664257" s="36"/>
    </row>
    <row r="664353" spans="31:32" x14ac:dyDescent="0.25">
      <c r="AE664353" s="34"/>
      <c r="AF664353" s="34"/>
    </row>
    <row r="664361" spans="31:32" x14ac:dyDescent="0.25">
      <c r="AE664361" s="36"/>
      <c r="AF664361" s="36"/>
    </row>
    <row r="664457" spans="31:32" x14ac:dyDescent="0.25">
      <c r="AE664457" s="34"/>
      <c r="AF664457" s="34"/>
    </row>
    <row r="664465" spans="31:32" x14ac:dyDescent="0.25">
      <c r="AE664465" s="36"/>
      <c r="AF664465" s="36"/>
    </row>
    <row r="664561" spans="31:32" x14ac:dyDescent="0.25">
      <c r="AE664561" s="34"/>
      <c r="AF664561" s="34"/>
    </row>
    <row r="664569" spans="31:32" x14ac:dyDescent="0.25">
      <c r="AE664569" s="36"/>
      <c r="AF664569" s="36"/>
    </row>
    <row r="664665" spans="31:32" x14ac:dyDescent="0.25">
      <c r="AE664665" s="34"/>
      <c r="AF664665" s="34"/>
    </row>
    <row r="664673" spans="31:32" x14ac:dyDescent="0.25">
      <c r="AE664673" s="36"/>
      <c r="AF664673" s="36"/>
    </row>
    <row r="664769" spans="31:32" x14ac:dyDescent="0.25">
      <c r="AE664769" s="34"/>
      <c r="AF664769" s="34"/>
    </row>
    <row r="664777" spans="31:32" x14ac:dyDescent="0.25">
      <c r="AE664777" s="36"/>
      <c r="AF664777" s="36"/>
    </row>
    <row r="664873" spans="31:32" x14ac:dyDescent="0.25">
      <c r="AE664873" s="34"/>
      <c r="AF664873" s="34"/>
    </row>
    <row r="664881" spans="31:32" x14ac:dyDescent="0.25">
      <c r="AE664881" s="36"/>
      <c r="AF664881" s="36"/>
    </row>
    <row r="664977" spans="31:32" x14ac:dyDescent="0.25">
      <c r="AE664977" s="34"/>
      <c r="AF664977" s="34"/>
    </row>
    <row r="664985" spans="31:32" x14ac:dyDescent="0.25">
      <c r="AE664985" s="36"/>
      <c r="AF664985" s="36"/>
    </row>
    <row r="665081" spans="31:32" x14ac:dyDescent="0.25">
      <c r="AE665081" s="34"/>
      <c r="AF665081" s="34"/>
    </row>
    <row r="665089" spans="31:32" x14ac:dyDescent="0.25">
      <c r="AE665089" s="36"/>
      <c r="AF665089" s="36"/>
    </row>
    <row r="665185" spans="31:32" x14ac:dyDescent="0.25">
      <c r="AE665185" s="34"/>
      <c r="AF665185" s="34"/>
    </row>
    <row r="665193" spans="31:32" x14ac:dyDescent="0.25">
      <c r="AE665193" s="36"/>
      <c r="AF665193" s="36"/>
    </row>
    <row r="665289" spans="31:32" x14ac:dyDescent="0.25">
      <c r="AE665289" s="34"/>
      <c r="AF665289" s="34"/>
    </row>
    <row r="665297" spans="31:32" x14ac:dyDescent="0.25">
      <c r="AE665297" s="36"/>
      <c r="AF665297" s="36"/>
    </row>
    <row r="665393" spans="31:32" x14ac:dyDescent="0.25">
      <c r="AE665393" s="34"/>
      <c r="AF665393" s="34"/>
    </row>
    <row r="665401" spans="31:32" x14ac:dyDescent="0.25">
      <c r="AE665401" s="36"/>
      <c r="AF665401" s="36"/>
    </row>
    <row r="665497" spans="31:32" x14ac:dyDescent="0.25">
      <c r="AE665497" s="34"/>
      <c r="AF665497" s="34"/>
    </row>
    <row r="665505" spans="31:32" x14ac:dyDescent="0.25">
      <c r="AE665505" s="36"/>
      <c r="AF665505" s="36"/>
    </row>
    <row r="665601" spans="31:32" x14ac:dyDescent="0.25">
      <c r="AE665601" s="34"/>
      <c r="AF665601" s="34"/>
    </row>
    <row r="665609" spans="31:32" x14ac:dyDescent="0.25">
      <c r="AE665609" s="36"/>
      <c r="AF665609" s="36"/>
    </row>
    <row r="665705" spans="31:32" x14ac:dyDescent="0.25">
      <c r="AE665705" s="34"/>
      <c r="AF665705" s="34"/>
    </row>
    <row r="665713" spans="31:32" x14ac:dyDescent="0.25">
      <c r="AE665713" s="36"/>
      <c r="AF665713" s="36"/>
    </row>
    <row r="665809" spans="31:32" x14ac:dyDescent="0.25">
      <c r="AE665809" s="34"/>
      <c r="AF665809" s="34"/>
    </row>
    <row r="665817" spans="31:32" x14ac:dyDescent="0.25">
      <c r="AE665817" s="36"/>
      <c r="AF665817" s="36"/>
    </row>
    <row r="665913" spans="31:32" x14ac:dyDescent="0.25">
      <c r="AE665913" s="34"/>
      <c r="AF665913" s="34"/>
    </row>
    <row r="665921" spans="31:32" x14ac:dyDescent="0.25">
      <c r="AE665921" s="36"/>
      <c r="AF665921" s="36"/>
    </row>
    <row r="666017" spans="31:32" x14ac:dyDescent="0.25">
      <c r="AE666017" s="34"/>
      <c r="AF666017" s="34"/>
    </row>
    <row r="666025" spans="31:32" x14ac:dyDescent="0.25">
      <c r="AE666025" s="36"/>
      <c r="AF666025" s="36"/>
    </row>
    <row r="666121" spans="31:32" x14ac:dyDescent="0.25">
      <c r="AE666121" s="34"/>
      <c r="AF666121" s="34"/>
    </row>
    <row r="666129" spans="31:32" x14ac:dyDescent="0.25">
      <c r="AE666129" s="36"/>
      <c r="AF666129" s="36"/>
    </row>
    <row r="666225" spans="31:32" x14ac:dyDescent="0.25">
      <c r="AE666225" s="34"/>
      <c r="AF666225" s="34"/>
    </row>
    <row r="666233" spans="31:32" x14ac:dyDescent="0.25">
      <c r="AE666233" s="36"/>
      <c r="AF666233" s="36"/>
    </row>
    <row r="666329" spans="31:32" x14ac:dyDescent="0.25">
      <c r="AE666329" s="34"/>
      <c r="AF666329" s="34"/>
    </row>
    <row r="666337" spans="31:32" x14ac:dyDescent="0.25">
      <c r="AE666337" s="36"/>
      <c r="AF666337" s="36"/>
    </row>
    <row r="666433" spans="31:32" x14ac:dyDescent="0.25">
      <c r="AE666433" s="34"/>
      <c r="AF666433" s="34"/>
    </row>
    <row r="666441" spans="31:32" x14ac:dyDescent="0.25">
      <c r="AE666441" s="36"/>
      <c r="AF666441" s="36"/>
    </row>
    <row r="666537" spans="31:32" x14ac:dyDescent="0.25">
      <c r="AE666537" s="34"/>
      <c r="AF666537" s="34"/>
    </row>
    <row r="666545" spans="31:32" x14ac:dyDescent="0.25">
      <c r="AE666545" s="36"/>
      <c r="AF666545" s="36"/>
    </row>
    <row r="666641" spans="31:32" x14ac:dyDescent="0.25">
      <c r="AE666641" s="34"/>
      <c r="AF666641" s="34"/>
    </row>
    <row r="666649" spans="31:32" x14ac:dyDescent="0.25">
      <c r="AE666649" s="36"/>
      <c r="AF666649" s="36"/>
    </row>
    <row r="666745" spans="31:32" x14ac:dyDescent="0.25">
      <c r="AE666745" s="34"/>
      <c r="AF666745" s="34"/>
    </row>
    <row r="666753" spans="31:32" x14ac:dyDescent="0.25">
      <c r="AE666753" s="36"/>
      <c r="AF666753" s="36"/>
    </row>
    <row r="666849" spans="31:32" x14ac:dyDescent="0.25">
      <c r="AE666849" s="34"/>
      <c r="AF666849" s="34"/>
    </row>
    <row r="666857" spans="31:32" x14ac:dyDescent="0.25">
      <c r="AE666857" s="36"/>
      <c r="AF666857" s="36"/>
    </row>
    <row r="666953" spans="31:32" x14ac:dyDescent="0.25">
      <c r="AE666953" s="34"/>
      <c r="AF666953" s="34"/>
    </row>
    <row r="666961" spans="31:32" x14ac:dyDescent="0.25">
      <c r="AE666961" s="36"/>
      <c r="AF666961" s="36"/>
    </row>
    <row r="667057" spans="31:32" x14ac:dyDescent="0.25">
      <c r="AE667057" s="34"/>
      <c r="AF667057" s="34"/>
    </row>
    <row r="667065" spans="31:32" x14ac:dyDescent="0.25">
      <c r="AE667065" s="36"/>
      <c r="AF667065" s="36"/>
    </row>
    <row r="667161" spans="31:32" x14ac:dyDescent="0.25">
      <c r="AE667161" s="34"/>
      <c r="AF667161" s="34"/>
    </row>
    <row r="667169" spans="31:32" x14ac:dyDescent="0.25">
      <c r="AE667169" s="36"/>
      <c r="AF667169" s="36"/>
    </row>
    <row r="667265" spans="31:32" x14ac:dyDescent="0.25">
      <c r="AE667265" s="34"/>
      <c r="AF667265" s="34"/>
    </row>
    <row r="667273" spans="31:32" x14ac:dyDescent="0.25">
      <c r="AE667273" s="36"/>
      <c r="AF667273" s="36"/>
    </row>
    <row r="667369" spans="31:32" x14ac:dyDescent="0.25">
      <c r="AE667369" s="34"/>
      <c r="AF667369" s="34"/>
    </row>
    <row r="667377" spans="31:32" x14ac:dyDescent="0.25">
      <c r="AE667377" s="36"/>
      <c r="AF667377" s="36"/>
    </row>
    <row r="667473" spans="31:32" x14ac:dyDescent="0.25">
      <c r="AE667473" s="34"/>
      <c r="AF667473" s="34"/>
    </row>
    <row r="667481" spans="31:32" x14ac:dyDescent="0.25">
      <c r="AE667481" s="36"/>
      <c r="AF667481" s="36"/>
    </row>
    <row r="667577" spans="31:32" x14ac:dyDescent="0.25">
      <c r="AE667577" s="34"/>
      <c r="AF667577" s="34"/>
    </row>
    <row r="667585" spans="31:32" x14ac:dyDescent="0.25">
      <c r="AE667585" s="36"/>
      <c r="AF667585" s="36"/>
    </row>
    <row r="667681" spans="31:32" x14ac:dyDescent="0.25">
      <c r="AE667681" s="34"/>
      <c r="AF667681" s="34"/>
    </row>
    <row r="667689" spans="31:32" x14ac:dyDescent="0.25">
      <c r="AE667689" s="36"/>
      <c r="AF667689" s="36"/>
    </row>
    <row r="667785" spans="31:32" x14ac:dyDescent="0.25">
      <c r="AE667785" s="34"/>
      <c r="AF667785" s="34"/>
    </row>
    <row r="667793" spans="31:32" x14ac:dyDescent="0.25">
      <c r="AE667793" s="36"/>
      <c r="AF667793" s="36"/>
    </row>
    <row r="667889" spans="31:32" x14ac:dyDescent="0.25">
      <c r="AE667889" s="34"/>
      <c r="AF667889" s="34"/>
    </row>
    <row r="667897" spans="31:32" x14ac:dyDescent="0.25">
      <c r="AE667897" s="36"/>
      <c r="AF667897" s="36"/>
    </row>
    <row r="667993" spans="31:32" x14ac:dyDescent="0.25">
      <c r="AE667993" s="34"/>
      <c r="AF667993" s="34"/>
    </row>
    <row r="668001" spans="31:32" x14ac:dyDescent="0.25">
      <c r="AE668001" s="36"/>
      <c r="AF668001" s="36"/>
    </row>
    <row r="668097" spans="31:32" x14ac:dyDescent="0.25">
      <c r="AE668097" s="34"/>
      <c r="AF668097" s="34"/>
    </row>
    <row r="668105" spans="31:32" x14ac:dyDescent="0.25">
      <c r="AE668105" s="36"/>
      <c r="AF668105" s="36"/>
    </row>
    <row r="668201" spans="31:32" x14ac:dyDescent="0.25">
      <c r="AE668201" s="34"/>
      <c r="AF668201" s="34"/>
    </row>
    <row r="668209" spans="31:32" x14ac:dyDescent="0.25">
      <c r="AE668209" s="36"/>
      <c r="AF668209" s="36"/>
    </row>
    <row r="668305" spans="31:32" x14ac:dyDescent="0.25">
      <c r="AE668305" s="34"/>
      <c r="AF668305" s="34"/>
    </row>
    <row r="668313" spans="31:32" x14ac:dyDescent="0.25">
      <c r="AE668313" s="36"/>
      <c r="AF668313" s="36"/>
    </row>
    <row r="668409" spans="31:32" x14ac:dyDescent="0.25">
      <c r="AE668409" s="34"/>
      <c r="AF668409" s="34"/>
    </row>
    <row r="668417" spans="31:32" x14ac:dyDescent="0.25">
      <c r="AE668417" s="36"/>
      <c r="AF668417" s="36"/>
    </row>
    <row r="668513" spans="31:32" x14ac:dyDescent="0.25">
      <c r="AE668513" s="34"/>
      <c r="AF668513" s="34"/>
    </row>
    <row r="668521" spans="31:32" x14ac:dyDescent="0.25">
      <c r="AE668521" s="36"/>
      <c r="AF668521" s="36"/>
    </row>
    <row r="668617" spans="31:32" x14ac:dyDescent="0.25">
      <c r="AE668617" s="34"/>
      <c r="AF668617" s="34"/>
    </row>
    <row r="668625" spans="31:32" x14ac:dyDescent="0.25">
      <c r="AE668625" s="36"/>
      <c r="AF668625" s="36"/>
    </row>
    <row r="668721" spans="31:32" x14ac:dyDescent="0.25">
      <c r="AE668721" s="34"/>
      <c r="AF668721" s="34"/>
    </row>
    <row r="668729" spans="31:32" x14ac:dyDescent="0.25">
      <c r="AE668729" s="36"/>
      <c r="AF668729" s="36"/>
    </row>
    <row r="668825" spans="31:32" x14ac:dyDescent="0.25">
      <c r="AE668825" s="34"/>
      <c r="AF668825" s="34"/>
    </row>
    <row r="668833" spans="31:32" x14ac:dyDescent="0.25">
      <c r="AE668833" s="36"/>
      <c r="AF668833" s="36"/>
    </row>
    <row r="668929" spans="31:32" x14ac:dyDescent="0.25">
      <c r="AE668929" s="34"/>
      <c r="AF668929" s="34"/>
    </row>
    <row r="668937" spans="31:32" x14ac:dyDescent="0.25">
      <c r="AE668937" s="36"/>
      <c r="AF668937" s="36"/>
    </row>
    <row r="669033" spans="31:32" x14ac:dyDescent="0.25">
      <c r="AE669033" s="34"/>
      <c r="AF669033" s="34"/>
    </row>
    <row r="669041" spans="31:32" x14ac:dyDescent="0.25">
      <c r="AE669041" s="36"/>
      <c r="AF669041" s="36"/>
    </row>
    <row r="669137" spans="31:32" x14ac:dyDescent="0.25">
      <c r="AE669137" s="34"/>
      <c r="AF669137" s="34"/>
    </row>
    <row r="669145" spans="31:32" x14ac:dyDescent="0.25">
      <c r="AE669145" s="36"/>
      <c r="AF669145" s="36"/>
    </row>
    <row r="669241" spans="31:32" x14ac:dyDescent="0.25">
      <c r="AE669241" s="34"/>
      <c r="AF669241" s="34"/>
    </row>
    <row r="669249" spans="31:32" x14ac:dyDescent="0.25">
      <c r="AE669249" s="36"/>
      <c r="AF669249" s="36"/>
    </row>
    <row r="669345" spans="31:32" x14ac:dyDescent="0.25">
      <c r="AE669345" s="34"/>
      <c r="AF669345" s="34"/>
    </row>
    <row r="669353" spans="31:32" x14ac:dyDescent="0.25">
      <c r="AE669353" s="36"/>
      <c r="AF669353" s="36"/>
    </row>
    <row r="669449" spans="31:32" x14ac:dyDescent="0.25">
      <c r="AE669449" s="34"/>
      <c r="AF669449" s="34"/>
    </row>
    <row r="669457" spans="31:32" x14ac:dyDescent="0.25">
      <c r="AE669457" s="36"/>
      <c r="AF669457" s="36"/>
    </row>
    <row r="669553" spans="31:32" x14ac:dyDescent="0.25">
      <c r="AE669553" s="34"/>
      <c r="AF669553" s="34"/>
    </row>
    <row r="669561" spans="31:32" x14ac:dyDescent="0.25">
      <c r="AE669561" s="36"/>
      <c r="AF669561" s="36"/>
    </row>
    <row r="669657" spans="31:32" x14ac:dyDescent="0.25">
      <c r="AE669657" s="34"/>
      <c r="AF669657" s="34"/>
    </row>
    <row r="669665" spans="31:32" x14ac:dyDescent="0.25">
      <c r="AE669665" s="36"/>
      <c r="AF669665" s="36"/>
    </row>
    <row r="669761" spans="31:32" x14ac:dyDescent="0.25">
      <c r="AE669761" s="34"/>
      <c r="AF669761" s="34"/>
    </row>
    <row r="669769" spans="31:32" x14ac:dyDescent="0.25">
      <c r="AE669769" s="36"/>
      <c r="AF669769" s="36"/>
    </row>
    <row r="669865" spans="31:32" x14ac:dyDescent="0.25">
      <c r="AE669865" s="34"/>
      <c r="AF669865" s="34"/>
    </row>
    <row r="669873" spans="31:32" x14ac:dyDescent="0.25">
      <c r="AE669873" s="36"/>
      <c r="AF669873" s="36"/>
    </row>
    <row r="669969" spans="31:32" x14ac:dyDescent="0.25">
      <c r="AE669969" s="34"/>
      <c r="AF669969" s="34"/>
    </row>
    <row r="669977" spans="31:32" x14ac:dyDescent="0.25">
      <c r="AE669977" s="36"/>
      <c r="AF669977" s="36"/>
    </row>
    <row r="670073" spans="31:32" x14ac:dyDescent="0.25">
      <c r="AE670073" s="34"/>
      <c r="AF670073" s="34"/>
    </row>
    <row r="670081" spans="31:32" x14ac:dyDescent="0.25">
      <c r="AE670081" s="36"/>
      <c r="AF670081" s="36"/>
    </row>
    <row r="670177" spans="31:32" x14ac:dyDescent="0.25">
      <c r="AE670177" s="34"/>
      <c r="AF670177" s="34"/>
    </row>
    <row r="670185" spans="31:32" x14ac:dyDescent="0.25">
      <c r="AE670185" s="36"/>
      <c r="AF670185" s="36"/>
    </row>
    <row r="670281" spans="31:32" x14ac:dyDescent="0.25">
      <c r="AE670281" s="34"/>
      <c r="AF670281" s="34"/>
    </row>
    <row r="670289" spans="31:32" x14ac:dyDescent="0.25">
      <c r="AE670289" s="36"/>
      <c r="AF670289" s="36"/>
    </row>
    <row r="670385" spans="31:32" x14ac:dyDescent="0.25">
      <c r="AE670385" s="34"/>
      <c r="AF670385" s="34"/>
    </row>
    <row r="670393" spans="31:32" x14ac:dyDescent="0.25">
      <c r="AE670393" s="36"/>
      <c r="AF670393" s="36"/>
    </row>
    <row r="670489" spans="31:32" x14ac:dyDescent="0.25">
      <c r="AE670489" s="34"/>
      <c r="AF670489" s="34"/>
    </row>
    <row r="670497" spans="31:32" x14ac:dyDescent="0.25">
      <c r="AE670497" s="36"/>
      <c r="AF670497" s="36"/>
    </row>
    <row r="670593" spans="31:32" x14ac:dyDescent="0.25">
      <c r="AE670593" s="34"/>
      <c r="AF670593" s="34"/>
    </row>
    <row r="670601" spans="31:32" x14ac:dyDescent="0.25">
      <c r="AE670601" s="36"/>
      <c r="AF670601" s="36"/>
    </row>
    <row r="670697" spans="31:32" x14ac:dyDescent="0.25">
      <c r="AE670697" s="34"/>
      <c r="AF670697" s="34"/>
    </row>
    <row r="670705" spans="31:32" x14ac:dyDescent="0.25">
      <c r="AE670705" s="36"/>
      <c r="AF670705" s="36"/>
    </row>
    <row r="670801" spans="31:32" x14ac:dyDescent="0.25">
      <c r="AE670801" s="34"/>
      <c r="AF670801" s="34"/>
    </row>
    <row r="670809" spans="31:32" x14ac:dyDescent="0.25">
      <c r="AE670809" s="36"/>
      <c r="AF670809" s="36"/>
    </row>
    <row r="670905" spans="31:32" x14ac:dyDescent="0.25">
      <c r="AE670905" s="34"/>
      <c r="AF670905" s="34"/>
    </row>
    <row r="670913" spans="31:32" x14ac:dyDescent="0.25">
      <c r="AE670913" s="36"/>
      <c r="AF670913" s="36"/>
    </row>
    <row r="671009" spans="31:32" x14ac:dyDescent="0.25">
      <c r="AE671009" s="34"/>
      <c r="AF671009" s="34"/>
    </row>
    <row r="671017" spans="31:32" x14ac:dyDescent="0.25">
      <c r="AE671017" s="36"/>
      <c r="AF671017" s="36"/>
    </row>
    <row r="671113" spans="31:32" x14ac:dyDescent="0.25">
      <c r="AE671113" s="34"/>
      <c r="AF671113" s="34"/>
    </row>
    <row r="671121" spans="31:32" x14ac:dyDescent="0.25">
      <c r="AE671121" s="36"/>
      <c r="AF671121" s="36"/>
    </row>
    <row r="671217" spans="31:32" x14ac:dyDescent="0.25">
      <c r="AE671217" s="34"/>
      <c r="AF671217" s="34"/>
    </row>
    <row r="671225" spans="31:32" x14ac:dyDescent="0.25">
      <c r="AE671225" s="36"/>
      <c r="AF671225" s="36"/>
    </row>
    <row r="671321" spans="31:32" x14ac:dyDescent="0.25">
      <c r="AE671321" s="34"/>
      <c r="AF671321" s="34"/>
    </row>
    <row r="671329" spans="31:32" x14ac:dyDescent="0.25">
      <c r="AE671329" s="36"/>
      <c r="AF671329" s="36"/>
    </row>
    <row r="671425" spans="31:32" x14ac:dyDescent="0.25">
      <c r="AE671425" s="34"/>
      <c r="AF671425" s="34"/>
    </row>
    <row r="671433" spans="31:32" x14ac:dyDescent="0.25">
      <c r="AE671433" s="36"/>
      <c r="AF671433" s="36"/>
    </row>
    <row r="671529" spans="31:32" x14ac:dyDescent="0.25">
      <c r="AE671529" s="34"/>
      <c r="AF671529" s="34"/>
    </row>
    <row r="671537" spans="31:32" x14ac:dyDescent="0.25">
      <c r="AE671537" s="36"/>
      <c r="AF671537" s="36"/>
    </row>
    <row r="671633" spans="31:32" x14ac:dyDescent="0.25">
      <c r="AE671633" s="34"/>
      <c r="AF671633" s="34"/>
    </row>
    <row r="671641" spans="31:32" x14ac:dyDescent="0.25">
      <c r="AE671641" s="36"/>
      <c r="AF671641" s="36"/>
    </row>
    <row r="671737" spans="31:32" x14ac:dyDescent="0.25">
      <c r="AE671737" s="34"/>
      <c r="AF671737" s="34"/>
    </row>
    <row r="671745" spans="31:32" x14ac:dyDescent="0.25">
      <c r="AE671745" s="36"/>
      <c r="AF671745" s="36"/>
    </row>
    <row r="671841" spans="31:32" x14ac:dyDescent="0.25">
      <c r="AE671841" s="34"/>
      <c r="AF671841" s="34"/>
    </row>
    <row r="671849" spans="31:32" x14ac:dyDescent="0.25">
      <c r="AE671849" s="36"/>
      <c r="AF671849" s="36"/>
    </row>
    <row r="671945" spans="31:32" x14ac:dyDescent="0.25">
      <c r="AE671945" s="34"/>
      <c r="AF671945" s="34"/>
    </row>
    <row r="671953" spans="31:32" x14ac:dyDescent="0.25">
      <c r="AE671953" s="36"/>
      <c r="AF671953" s="36"/>
    </row>
    <row r="672049" spans="31:32" x14ac:dyDescent="0.25">
      <c r="AE672049" s="34"/>
      <c r="AF672049" s="34"/>
    </row>
    <row r="672057" spans="31:32" x14ac:dyDescent="0.25">
      <c r="AE672057" s="36"/>
      <c r="AF672057" s="36"/>
    </row>
    <row r="672153" spans="31:32" x14ac:dyDescent="0.25">
      <c r="AE672153" s="34"/>
      <c r="AF672153" s="34"/>
    </row>
    <row r="672161" spans="31:32" x14ac:dyDescent="0.25">
      <c r="AE672161" s="36"/>
      <c r="AF672161" s="36"/>
    </row>
    <row r="672257" spans="31:32" x14ac:dyDescent="0.25">
      <c r="AE672257" s="34"/>
      <c r="AF672257" s="34"/>
    </row>
    <row r="672265" spans="31:32" x14ac:dyDescent="0.25">
      <c r="AE672265" s="36"/>
      <c r="AF672265" s="36"/>
    </row>
    <row r="672361" spans="31:32" x14ac:dyDescent="0.25">
      <c r="AE672361" s="34"/>
      <c r="AF672361" s="34"/>
    </row>
    <row r="672369" spans="31:32" x14ac:dyDescent="0.25">
      <c r="AE672369" s="36"/>
      <c r="AF672369" s="36"/>
    </row>
    <row r="672465" spans="31:32" x14ac:dyDescent="0.25">
      <c r="AE672465" s="34"/>
      <c r="AF672465" s="34"/>
    </row>
    <row r="672473" spans="31:32" x14ac:dyDescent="0.25">
      <c r="AE672473" s="36"/>
      <c r="AF672473" s="36"/>
    </row>
    <row r="672569" spans="31:32" x14ac:dyDescent="0.25">
      <c r="AE672569" s="34"/>
      <c r="AF672569" s="34"/>
    </row>
    <row r="672577" spans="31:32" x14ac:dyDescent="0.25">
      <c r="AE672577" s="36"/>
      <c r="AF672577" s="36"/>
    </row>
    <row r="672673" spans="31:32" x14ac:dyDescent="0.25">
      <c r="AE672673" s="34"/>
      <c r="AF672673" s="34"/>
    </row>
    <row r="672681" spans="31:32" x14ac:dyDescent="0.25">
      <c r="AE672681" s="36"/>
      <c r="AF672681" s="36"/>
    </row>
    <row r="672777" spans="31:32" x14ac:dyDescent="0.25">
      <c r="AE672777" s="34"/>
      <c r="AF672777" s="34"/>
    </row>
    <row r="672785" spans="31:32" x14ac:dyDescent="0.25">
      <c r="AE672785" s="36"/>
      <c r="AF672785" s="36"/>
    </row>
    <row r="672881" spans="31:32" x14ac:dyDescent="0.25">
      <c r="AE672881" s="34"/>
      <c r="AF672881" s="34"/>
    </row>
    <row r="672889" spans="31:32" x14ac:dyDescent="0.25">
      <c r="AE672889" s="36"/>
      <c r="AF672889" s="36"/>
    </row>
    <row r="672985" spans="31:32" x14ac:dyDescent="0.25">
      <c r="AE672985" s="34"/>
      <c r="AF672985" s="34"/>
    </row>
    <row r="672993" spans="31:32" x14ac:dyDescent="0.25">
      <c r="AE672993" s="36"/>
      <c r="AF672993" s="36"/>
    </row>
    <row r="673089" spans="31:32" x14ac:dyDescent="0.25">
      <c r="AE673089" s="34"/>
      <c r="AF673089" s="34"/>
    </row>
    <row r="673097" spans="31:32" x14ac:dyDescent="0.25">
      <c r="AE673097" s="36"/>
      <c r="AF673097" s="36"/>
    </row>
    <row r="673193" spans="31:32" x14ac:dyDescent="0.25">
      <c r="AE673193" s="34"/>
      <c r="AF673193" s="34"/>
    </row>
    <row r="673201" spans="31:32" x14ac:dyDescent="0.25">
      <c r="AE673201" s="36"/>
      <c r="AF673201" s="36"/>
    </row>
    <row r="673297" spans="31:32" x14ac:dyDescent="0.25">
      <c r="AE673297" s="34"/>
      <c r="AF673297" s="34"/>
    </row>
    <row r="673305" spans="31:32" x14ac:dyDescent="0.25">
      <c r="AE673305" s="36"/>
      <c r="AF673305" s="36"/>
    </row>
    <row r="673401" spans="31:32" x14ac:dyDescent="0.25">
      <c r="AE673401" s="34"/>
      <c r="AF673401" s="34"/>
    </row>
    <row r="673409" spans="31:32" x14ac:dyDescent="0.25">
      <c r="AE673409" s="36"/>
      <c r="AF673409" s="36"/>
    </row>
    <row r="673505" spans="31:32" x14ac:dyDescent="0.25">
      <c r="AE673505" s="34"/>
      <c r="AF673505" s="34"/>
    </row>
    <row r="673513" spans="31:32" x14ac:dyDescent="0.25">
      <c r="AE673513" s="36"/>
      <c r="AF673513" s="36"/>
    </row>
    <row r="673609" spans="31:32" x14ac:dyDescent="0.25">
      <c r="AE673609" s="34"/>
      <c r="AF673609" s="34"/>
    </row>
    <row r="673617" spans="31:32" x14ac:dyDescent="0.25">
      <c r="AE673617" s="36"/>
      <c r="AF673617" s="36"/>
    </row>
    <row r="673713" spans="31:32" x14ac:dyDescent="0.25">
      <c r="AE673713" s="34"/>
      <c r="AF673713" s="34"/>
    </row>
    <row r="673721" spans="31:32" x14ac:dyDescent="0.25">
      <c r="AE673721" s="36"/>
      <c r="AF673721" s="36"/>
    </row>
    <row r="673817" spans="31:32" x14ac:dyDescent="0.25">
      <c r="AE673817" s="34"/>
      <c r="AF673817" s="34"/>
    </row>
    <row r="673825" spans="31:32" x14ac:dyDescent="0.25">
      <c r="AE673825" s="36"/>
      <c r="AF673825" s="36"/>
    </row>
    <row r="673921" spans="31:32" x14ac:dyDescent="0.25">
      <c r="AE673921" s="34"/>
      <c r="AF673921" s="34"/>
    </row>
    <row r="673929" spans="31:32" x14ac:dyDescent="0.25">
      <c r="AE673929" s="36"/>
      <c r="AF673929" s="36"/>
    </row>
    <row r="674025" spans="31:32" x14ac:dyDescent="0.25">
      <c r="AE674025" s="34"/>
      <c r="AF674025" s="34"/>
    </row>
    <row r="674033" spans="31:32" x14ac:dyDescent="0.25">
      <c r="AE674033" s="36"/>
      <c r="AF674033" s="36"/>
    </row>
    <row r="674129" spans="31:32" x14ac:dyDescent="0.25">
      <c r="AE674129" s="34"/>
      <c r="AF674129" s="34"/>
    </row>
    <row r="674137" spans="31:32" x14ac:dyDescent="0.25">
      <c r="AE674137" s="36"/>
      <c r="AF674137" s="36"/>
    </row>
    <row r="674233" spans="31:32" x14ac:dyDescent="0.25">
      <c r="AE674233" s="34"/>
      <c r="AF674233" s="34"/>
    </row>
    <row r="674241" spans="31:32" x14ac:dyDescent="0.25">
      <c r="AE674241" s="36"/>
      <c r="AF674241" s="36"/>
    </row>
    <row r="674337" spans="31:32" x14ac:dyDescent="0.25">
      <c r="AE674337" s="34"/>
      <c r="AF674337" s="34"/>
    </row>
    <row r="674345" spans="31:32" x14ac:dyDescent="0.25">
      <c r="AE674345" s="36"/>
      <c r="AF674345" s="36"/>
    </row>
    <row r="674441" spans="31:32" x14ac:dyDescent="0.25">
      <c r="AE674441" s="34"/>
      <c r="AF674441" s="34"/>
    </row>
    <row r="674449" spans="31:32" x14ac:dyDescent="0.25">
      <c r="AE674449" s="36"/>
      <c r="AF674449" s="36"/>
    </row>
    <row r="674545" spans="31:32" x14ac:dyDescent="0.25">
      <c r="AE674545" s="34"/>
      <c r="AF674545" s="34"/>
    </row>
    <row r="674553" spans="31:32" x14ac:dyDescent="0.25">
      <c r="AE674553" s="36"/>
      <c r="AF674553" s="36"/>
    </row>
    <row r="674649" spans="31:32" x14ac:dyDescent="0.25">
      <c r="AE674649" s="34"/>
      <c r="AF674649" s="34"/>
    </row>
    <row r="674657" spans="31:32" x14ac:dyDescent="0.25">
      <c r="AE674657" s="36"/>
      <c r="AF674657" s="36"/>
    </row>
    <row r="674753" spans="31:32" x14ac:dyDescent="0.25">
      <c r="AE674753" s="34"/>
      <c r="AF674753" s="34"/>
    </row>
    <row r="674761" spans="31:32" x14ac:dyDescent="0.25">
      <c r="AE674761" s="36"/>
      <c r="AF674761" s="36"/>
    </row>
    <row r="674857" spans="31:32" x14ac:dyDescent="0.25">
      <c r="AE674857" s="34"/>
      <c r="AF674857" s="34"/>
    </row>
    <row r="674865" spans="31:32" x14ac:dyDescent="0.25">
      <c r="AE674865" s="36"/>
      <c r="AF674865" s="36"/>
    </row>
    <row r="674961" spans="31:32" x14ac:dyDescent="0.25">
      <c r="AE674961" s="34"/>
      <c r="AF674961" s="34"/>
    </row>
    <row r="674969" spans="31:32" x14ac:dyDescent="0.25">
      <c r="AE674969" s="36"/>
      <c r="AF674969" s="36"/>
    </row>
    <row r="675065" spans="31:32" x14ac:dyDescent="0.25">
      <c r="AE675065" s="34"/>
      <c r="AF675065" s="34"/>
    </row>
    <row r="675073" spans="31:32" x14ac:dyDescent="0.25">
      <c r="AE675073" s="36"/>
      <c r="AF675073" s="36"/>
    </row>
    <row r="675169" spans="31:32" x14ac:dyDescent="0.25">
      <c r="AE675169" s="34"/>
      <c r="AF675169" s="34"/>
    </row>
    <row r="675177" spans="31:32" x14ac:dyDescent="0.25">
      <c r="AE675177" s="36"/>
      <c r="AF675177" s="36"/>
    </row>
    <row r="675273" spans="31:32" x14ac:dyDescent="0.25">
      <c r="AE675273" s="34"/>
      <c r="AF675273" s="34"/>
    </row>
    <row r="675281" spans="31:32" x14ac:dyDescent="0.25">
      <c r="AE675281" s="36"/>
      <c r="AF675281" s="36"/>
    </row>
    <row r="675377" spans="31:32" x14ac:dyDescent="0.25">
      <c r="AE675377" s="34"/>
      <c r="AF675377" s="34"/>
    </row>
    <row r="675385" spans="31:32" x14ac:dyDescent="0.25">
      <c r="AE675385" s="36"/>
      <c r="AF675385" s="36"/>
    </row>
    <row r="675481" spans="31:32" x14ac:dyDescent="0.25">
      <c r="AE675481" s="34"/>
      <c r="AF675481" s="34"/>
    </row>
    <row r="675489" spans="31:32" x14ac:dyDescent="0.25">
      <c r="AE675489" s="36"/>
      <c r="AF675489" s="36"/>
    </row>
    <row r="675585" spans="31:32" x14ac:dyDescent="0.25">
      <c r="AE675585" s="34"/>
      <c r="AF675585" s="34"/>
    </row>
    <row r="675593" spans="31:32" x14ac:dyDescent="0.25">
      <c r="AE675593" s="36"/>
      <c r="AF675593" s="36"/>
    </row>
    <row r="675689" spans="31:32" x14ac:dyDescent="0.25">
      <c r="AE675689" s="34"/>
      <c r="AF675689" s="34"/>
    </row>
    <row r="675697" spans="31:32" x14ac:dyDescent="0.25">
      <c r="AE675697" s="36"/>
      <c r="AF675697" s="36"/>
    </row>
    <row r="675793" spans="31:32" x14ac:dyDescent="0.25">
      <c r="AE675793" s="34"/>
      <c r="AF675793" s="34"/>
    </row>
    <row r="675801" spans="31:32" x14ac:dyDescent="0.25">
      <c r="AE675801" s="36"/>
      <c r="AF675801" s="36"/>
    </row>
    <row r="675897" spans="31:32" x14ac:dyDescent="0.25">
      <c r="AE675897" s="34"/>
      <c r="AF675897" s="34"/>
    </row>
    <row r="675905" spans="31:32" x14ac:dyDescent="0.25">
      <c r="AE675905" s="36"/>
      <c r="AF675905" s="36"/>
    </row>
    <row r="676001" spans="31:32" x14ac:dyDescent="0.25">
      <c r="AE676001" s="34"/>
      <c r="AF676001" s="34"/>
    </row>
    <row r="676009" spans="31:32" x14ac:dyDescent="0.25">
      <c r="AE676009" s="36"/>
      <c r="AF676009" s="36"/>
    </row>
    <row r="676105" spans="31:32" x14ac:dyDescent="0.25">
      <c r="AE676105" s="34"/>
      <c r="AF676105" s="34"/>
    </row>
    <row r="676113" spans="31:32" x14ac:dyDescent="0.25">
      <c r="AE676113" s="36"/>
      <c r="AF676113" s="36"/>
    </row>
    <row r="676209" spans="31:32" x14ac:dyDescent="0.25">
      <c r="AE676209" s="34"/>
      <c r="AF676209" s="34"/>
    </row>
    <row r="676217" spans="31:32" x14ac:dyDescent="0.25">
      <c r="AE676217" s="36"/>
      <c r="AF676217" s="36"/>
    </row>
    <row r="676313" spans="31:32" x14ac:dyDescent="0.25">
      <c r="AE676313" s="34"/>
      <c r="AF676313" s="34"/>
    </row>
    <row r="676321" spans="31:32" x14ac:dyDescent="0.25">
      <c r="AE676321" s="36"/>
      <c r="AF676321" s="36"/>
    </row>
    <row r="676417" spans="31:32" x14ac:dyDescent="0.25">
      <c r="AE676417" s="34"/>
      <c r="AF676417" s="34"/>
    </row>
    <row r="676425" spans="31:32" x14ac:dyDescent="0.25">
      <c r="AE676425" s="36"/>
      <c r="AF676425" s="36"/>
    </row>
    <row r="676521" spans="31:32" x14ac:dyDescent="0.25">
      <c r="AE676521" s="34"/>
      <c r="AF676521" s="34"/>
    </row>
    <row r="676529" spans="31:32" x14ac:dyDescent="0.25">
      <c r="AE676529" s="36"/>
      <c r="AF676529" s="36"/>
    </row>
    <row r="676625" spans="31:32" x14ac:dyDescent="0.25">
      <c r="AE676625" s="34"/>
      <c r="AF676625" s="34"/>
    </row>
    <row r="676633" spans="31:32" x14ac:dyDescent="0.25">
      <c r="AE676633" s="36"/>
      <c r="AF676633" s="36"/>
    </row>
    <row r="676729" spans="31:32" x14ac:dyDescent="0.25">
      <c r="AE676729" s="34"/>
      <c r="AF676729" s="34"/>
    </row>
    <row r="676737" spans="31:32" x14ac:dyDescent="0.25">
      <c r="AE676737" s="36"/>
      <c r="AF676737" s="36"/>
    </row>
    <row r="676833" spans="31:32" x14ac:dyDescent="0.25">
      <c r="AE676833" s="34"/>
      <c r="AF676833" s="34"/>
    </row>
    <row r="676841" spans="31:32" x14ac:dyDescent="0.25">
      <c r="AE676841" s="36"/>
      <c r="AF676841" s="36"/>
    </row>
    <row r="676937" spans="31:32" x14ac:dyDescent="0.25">
      <c r="AE676937" s="34"/>
      <c r="AF676937" s="34"/>
    </row>
    <row r="676945" spans="31:32" x14ac:dyDescent="0.25">
      <c r="AE676945" s="36"/>
      <c r="AF676945" s="36"/>
    </row>
    <row r="677041" spans="31:32" x14ac:dyDescent="0.25">
      <c r="AE677041" s="34"/>
      <c r="AF677041" s="34"/>
    </row>
    <row r="677049" spans="31:32" x14ac:dyDescent="0.25">
      <c r="AE677049" s="36"/>
      <c r="AF677049" s="36"/>
    </row>
    <row r="677145" spans="31:32" x14ac:dyDescent="0.25">
      <c r="AE677145" s="34"/>
      <c r="AF677145" s="34"/>
    </row>
    <row r="677153" spans="31:32" x14ac:dyDescent="0.25">
      <c r="AE677153" s="36"/>
      <c r="AF677153" s="36"/>
    </row>
    <row r="677249" spans="31:32" x14ac:dyDescent="0.25">
      <c r="AE677249" s="34"/>
      <c r="AF677249" s="34"/>
    </row>
    <row r="677257" spans="31:32" x14ac:dyDescent="0.25">
      <c r="AE677257" s="36"/>
      <c r="AF677257" s="36"/>
    </row>
    <row r="677353" spans="31:32" x14ac:dyDescent="0.25">
      <c r="AE677353" s="34"/>
      <c r="AF677353" s="34"/>
    </row>
    <row r="677361" spans="31:32" x14ac:dyDescent="0.25">
      <c r="AE677361" s="36"/>
      <c r="AF677361" s="36"/>
    </row>
    <row r="677457" spans="31:32" x14ac:dyDescent="0.25">
      <c r="AE677457" s="34"/>
      <c r="AF677457" s="34"/>
    </row>
    <row r="677465" spans="31:32" x14ac:dyDescent="0.25">
      <c r="AE677465" s="36"/>
      <c r="AF677465" s="36"/>
    </row>
    <row r="677561" spans="31:32" x14ac:dyDescent="0.25">
      <c r="AE677561" s="34"/>
      <c r="AF677561" s="34"/>
    </row>
    <row r="677569" spans="31:32" x14ac:dyDescent="0.25">
      <c r="AE677569" s="36"/>
      <c r="AF677569" s="36"/>
    </row>
    <row r="677665" spans="31:32" x14ac:dyDescent="0.25">
      <c r="AE677665" s="34"/>
      <c r="AF677665" s="34"/>
    </row>
    <row r="677673" spans="31:32" x14ac:dyDescent="0.25">
      <c r="AE677673" s="36"/>
      <c r="AF677673" s="36"/>
    </row>
    <row r="677769" spans="31:32" x14ac:dyDescent="0.25">
      <c r="AE677769" s="34"/>
      <c r="AF677769" s="34"/>
    </row>
    <row r="677777" spans="31:32" x14ac:dyDescent="0.25">
      <c r="AE677777" s="36"/>
      <c r="AF677777" s="36"/>
    </row>
    <row r="677873" spans="31:32" x14ac:dyDescent="0.25">
      <c r="AE677873" s="34"/>
      <c r="AF677873" s="34"/>
    </row>
    <row r="677881" spans="31:32" x14ac:dyDescent="0.25">
      <c r="AE677881" s="36"/>
      <c r="AF677881" s="36"/>
    </row>
    <row r="677977" spans="31:32" x14ac:dyDescent="0.25">
      <c r="AE677977" s="34"/>
      <c r="AF677977" s="34"/>
    </row>
    <row r="677985" spans="31:32" x14ac:dyDescent="0.25">
      <c r="AE677985" s="36"/>
      <c r="AF677985" s="36"/>
    </row>
    <row r="678081" spans="31:32" x14ac:dyDescent="0.25">
      <c r="AE678081" s="34"/>
      <c r="AF678081" s="34"/>
    </row>
    <row r="678089" spans="31:32" x14ac:dyDescent="0.25">
      <c r="AE678089" s="36"/>
      <c r="AF678089" s="36"/>
    </row>
    <row r="678185" spans="31:32" x14ac:dyDescent="0.25">
      <c r="AE678185" s="34"/>
      <c r="AF678185" s="34"/>
    </row>
    <row r="678193" spans="31:32" x14ac:dyDescent="0.25">
      <c r="AE678193" s="36"/>
      <c r="AF678193" s="36"/>
    </row>
    <row r="678289" spans="31:32" x14ac:dyDescent="0.25">
      <c r="AE678289" s="34"/>
      <c r="AF678289" s="34"/>
    </row>
    <row r="678297" spans="31:32" x14ac:dyDescent="0.25">
      <c r="AE678297" s="36"/>
      <c r="AF678297" s="36"/>
    </row>
    <row r="678393" spans="31:32" x14ac:dyDescent="0.25">
      <c r="AE678393" s="34"/>
      <c r="AF678393" s="34"/>
    </row>
    <row r="678401" spans="31:32" x14ac:dyDescent="0.25">
      <c r="AE678401" s="36"/>
      <c r="AF678401" s="36"/>
    </row>
    <row r="678497" spans="31:32" x14ac:dyDescent="0.25">
      <c r="AE678497" s="34"/>
      <c r="AF678497" s="34"/>
    </row>
    <row r="678505" spans="31:32" x14ac:dyDescent="0.25">
      <c r="AE678505" s="36"/>
      <c r="AF678505" s="36"/>
    </row>
    <row r="678601" spans="31:32" x14ac:dyDescent="0.25">
      <c r="AE678601" s="34"/>
      <c r="AF678601" s="34"/>
    </row>
    <row r="678609" spans="31:32" x14ac:dyDescent="0.25">
      <c r="AE678609" s="36"/>
      <c r="AF678609" s="36"/>
    </row>
    <row r="678705" spans="31:32" x14ac:dyDescent="0.25">
      <c r="AE678705" s="34"/>
      <c r="AF678705" s="34"/>
    </row>
    <row r="678713" spans="31:32" x14ac:dyDescent="0.25">
      <c r="AE678713" s="36"/>
      <c r="AF678713" s="36"/>
    </row>
    <row r="678809" spans="31:32" x14ac:dyDescent="0.25">
      <c r="AE678809" s="34"/>
      <c r="AF678809" s="34"/>
    </row>
    <row r="678817" spans="31:32" x14ac:dyDescent="0.25">
      <c r="AE678817" s="36"/>
      <c r="AF678817" s="36"/>
    </row>
    <row r="678913" spans="31:32" x14ac:dyDescent="0.25">
      <c r="AE678913" s="34"/>
      <c r="AF678913" s="34"/>
    </row>
    <row r="678921" spans="31:32" x14ac:dyDescent="0.25">
      <c r="AE678921" s="36"/>
      <c r="AF678921" s="36"/>
    </row>
    <row r="679017" spans="31:32" x14ac:dyDescent="0.25">
      <c r="AE679017" s="34"/>
      <c r="AF679017" s="34"/>
    </row>
    <row r="679025" spans="31:32" x14ac:dyDescent="0.25">
      <c r="AE679025" s="36"/>
      <c r="AF679025" s="36"/>
    </row>
    <row r="679121" spans="31:32" x14ac:dyDescent="0.25">
      <c r="AE679121" s="34"/>
      <c r="AF679121" s="34"/>
    </row>
    <row r="679129" spans="31:32" x14ac:dyDescent="0.25">
      <c r="AE679129" s="36"/>
      <c r="AF679129" s="36"/>
    </row>
    <row r="679225" spans="31:32" x14ac:dyDescent="0.25">
      <c r="AE679225" s="34"/>
      <c r="AF679225" s="34"/>
    </row>
    <row r="679233" spans="31:32" x14ac:dyDescent="0.25">
      <c r="AE679233" s="36"/>
      <c r="AF679233" s="36"/>
    </row>
    <row r="679329" spans="31:32" x14ac:dyDescent="0.25">
      <c r="AE679329" s="34"/>
      <c r="AF679329" s="34"/>
    </row>
    <row r="679337" spans="31:32" x14ac:dyDescent="0.25">
      <c r="AE679337" s="36"/>
      <c r="AF679337" s="36"/>
    </row>
    <row r="679433" spans="31:32" x14ac:dyDescent="0.25">
      <c r="AE679433" s="34"/>
      <c r="AF679433" s="34"/>
    </row>
    <row r="679441" spans="31:32" x14ac:dyDescent="0.25">
      <c r="AE679441" s="36"/>
      <c r="AF679441" s="36"/>
    </row>
    <row r="679537" spans="31:32" x14ac:dyDescent="0.25">
      <c r="AE679537" s="34"/>
      <c r="AF679537" s="34"/>
    </row>
    <row r="679545" spans="31:32" x14ac:dyDescent="0.25">
      <c r="AE679545" s="36"/>
      <c r="AF679545" s="36"/>
    </row>
    <row r="679641" spans="31:32" x14ac:dyDescent="0.25">
      <c r="AE679641" s="34"/>
      <c r="AF679641" s="34"/>
    </row>
    <row r="679649" spans="31:32" x14ac:dyDescent="0.25">
      <c r="AE679649" s="36"/>
      <c r="AF679649" s="36"/>
    </row>
    <row r="679745" spans="31:32" x14ac:dyDescent="0.25">
      <c r="AE679745" s="34"/>
      <c r="AF679745" s="34"/>
    </row>
    <row r="679753" spans="31:32" x14ac:dyDescent="0.25">
      <c r="AE679753" s="36"/>
      <c r="AF679753" s="36"/>
    </row>
    <row r="679849" spans="31:32" x14ac:dyDescent="0.25">
      <c r="AE679849" s="34"/>
      <c r="AF679849" s="34"/>
    </row>
    <row r="679857" spans="31:32" x14ac:dyDescent="0.25">
      <c r="AE679857" s="36"/>
      <c r="AF679857" s="36"/>
    </row>
    <row r="679953" spans="31:32" x14ac:dyDescent="0.25">
      <c r="AE679953" s="34"/>
      <c r="AF679953" s="34"/>
    </row>
    <row r="679961" spans="31:32" x14ac:dyDescent="0.25">
      <c r="AE679961" s="36"/>
      <c r="AF679961" s="36"/>
    </row>
    <row r="680057" spans="31:32" x14ac:dyDescent="0.25">
      <c r="AE680057" s="34"/>
      <c r="AF680057" s="34"/>
    </row>
    <row r="680065" spans="31:32" x14ac:dyDescent="0.25">
      <c r="AE680065" s="36"/>
      <c r="AF680065" s="36"/>
    </row>
    <row r="680161" spans="31:32" x14ac:dyDescent="0.25">
      <c r="AE680161" s="34"/>
      <c r="AF680161" s="34"/>
    </row>
    <row r="680169" spans="31:32" x14ac:dyDescent="0.25">
      <c r="AE680169" s="36"/>
      <c r="AF680169" s="36"/>
    </row>
    <row r="680265" spans="31:32" x14ac:dyDescent="0.25">
      <c r="AE680265" s="34"/>
      <c r="AF680265" s="34"/>
    </row>
    <row r="680273" spans="31:32" x14ac:dyDescent="0.25">
      <c r="AE680273" s="36"/>
      <c r="AF680273" s="36"/>
    </row>
    <row r="680369" spans="31:32" x14ac:dyDescent="0.25">
      <c r="AE680369" s="34"/>
      <c r="AF680369" s="34"/>
    </row>
    <row r="680377" spans="31:32" x14ac:dyDescent="0.25">
      <c r="AE680377" s="36"/>
      <c r="AF680377" s="36"/>
    </row>
    <row r="680473" spans="31:32" x14ac:dyDescent="0.25">
      <c r="AE680473" s="34"/>
      <c r="AF680473" s="34"/>
    </row>
    <row r="680481" spans="31:32" x14ac:dyDescent="0.25">
      <c r="AE680481" s="36"/>
      <c r="AF680481" s="36"/>
    </row>
    <row r="680577" spans="31:32" x14ac:dyDescent="0.25">
      <c r="AE680577" s="34"/>
      <c r="AF680577" s="34"/>
    </row>
    <row r="680585" spans="31:32" x14ac:dyDescent="0.25">
      <c r="AE680585" s="36"/>
      <c r="AF680585" s="36"/>
    </row>
    <row r="680681" spans="31:32" x14ac:dyDescent="0.25">
      <c r="AE680681" s="34"/>
      <c r="AF680681" s="34"/>
    </row>
    <row r="680689" spans="31:32" x14ac:dyDescent="0.25">
      <c r="AE680689" s="36"/>
      <c r="AF680689" s="36"/>
    </row>
    <row r="680785" spans="31:32" x14ac:dyDescent="0.25">
      <c r="AE680785" s="34"/>
      <c r="AF680785" s="34"/>
    </row>
    <row r="680793" spans="31:32" x14ac:dyDescent="0.25">
      <c r="AE680793" s="36"/>
      <c r="AF680793" s="36"/>
    </row>
    <row r="680889" spans="31:32" x14ac:dyDescent="0.25">
      <c r="AE680889" s="34"/>
      <c r="AF680889" s="34"/>
    </row>
    <row r="680897" spans="31:32" x14ac:dyDescent="0.25">
      <c r="AE680897" s="36"/>
      <c r="AF680897" s="36"/>
    </row>
    <row r="680993" spans="31:32" x14ac:dyDescent="0.25">
      <c r="AE680993" s="34"/>
      <c r="AF680993" s="34"/>
    </row>
    <row r="681001" spans="31:32" x14ac:dyDescent="0.25">
      <c r="AE681001" s="36"/>
      <c r="AF681001" s="36"/>
    </row>
    <row r="681097" spans="31:32" x14ac:dyDescent="0.25">
      <c r="AE681097" s="34"/>
      <c r="AF681097" s="34"/>
    </row>
    <row r="681105" spans="31:32" x14ac:dyDescent="0.25">
      <c r="AE681105" s="36"/>
      <c r="AF681105" s="36"/>
    </row>
    <row r="681201" spans="31:32" x14ac:dyDescent="0.25">
      <c r="AE681201" s="34"/>
      <c r="AF681201" s="34"/>
    </row>
    <row r="681209" spans="31:32" x14ac:dyDescent="0.25">
      <c r="AE681209" s="36"/>
      <c r="AF681209" s="36"/>
    </row>
    <row r="681305" spans="31:32" x14ac:dyDescent="0.25">
      <c r="AE681305" s="34"/>
      <c r="AF681305" s="34"/>
    </row>
    <row r="681313" spans="31:32" x14ac:dyDescent="0.25">
      <c r="AE681313" s="36"/>
      <c r="AF681313" s="36"/>
    </row>
    <row r="681409" spans="31:32" x14ac:dyDescent="0.25">
      <c r="AE681409" s="34"/>
      <c r="AF681409" s="34"/>
    </row>
    <row r="681417" spans="31:32" x14ac:dyDescent="0.25">
      <c r="AE681417" s="36"/>
      <c r="AF681417" s="36"/>
    </row>
    <row r="681513" spans="31:32" x14ac:dyDescent="0.25">
      <c r="AE681513" s="34"/>
      <c r="AF681513" s="34"/>
    </row>
    <row r="681521" spans="31:32" x14ac:dyDescent="0.25">
      <c r="AE681521" s="36"/>
      <c r="AF681521" s="36"/>
    </row>
    <row r="681617" spans="31:32" x14ac:dyDescent="0.25">
      <c r="AE681617" s="34"/>
      <c r="AF681617" s="34"/>
    </row>
    <row r="681625" spans="31:32" x14ac:dyDescent="0.25">
      <c r="AE681625" s="36"/>
      <c r="AF681625" s="36"/>
    </row>
    <row r="681721" spans="31:32" x14ac:dyDescent="0.25">
      <c r="AE681721" s="34"/>
      <c r="AF681721" s="34"/>
    </row>
    <row r="681729" spans="31:32" x14ac:dyDescent="0.25">
      <c r="AE681729" s="36"/>
      <c r="AF681729" s="36"/>
    </row>
    <row r="681825" spans="31:32" x14ac:dyDescent="0.25">
      <c r="AE681825" s="34"/>
      <c r="AF681825" s="34"/>
    </row>
    <row r="681833" spans="31:32" x14ac:dyDescent="0.25">
      <c r="AE681833" s="36"/>
      <c r="AF681833" s="36"/>
    </row>
    <row r="681929" spans="31:32" x14ac:dyDescent="0.25">
      <c r="AE681929" s="34"/>
      <c r="AF681929" s="34"/>
    </row>
    <row r="681937" spans="31:32" x14ac:dyDescent="0.25">
      <c r="AE681937" s="36"/>
      <c r="AF681937" s="36"/>
    </row>
    <row r="682033" spans="31:32" x14ac:dyDescent="0.25">
      <c r="AE682033" s="34"/>
      <c r="AF682033" s="34"/>
    </row>
    <row r="682041" spans="31:32" x14ac:dyDescent="0.25">
      <c r="AE682041" s="36"/>
      <c r="AF682041" s="36"/>
    </row>
    <row r="682137" spans="31:32" x14ac:dyDescent="0.25">
      <c r="AE682137" s="34"/>
      <c r="AF682137" s="34"/>
    </row>
    <row r="682145" spans="31:32" x14ac:dyDescent="0.25">
      <c r="AE682145" s="36"/>
      <c r="AF682145" s="36"/>
    </row>
    <row r="682241" spans="31:32" x14ac:dyDescent="0.25">
      <c r="AE682241" s="34"/>
      <c r="AF682241" s="34"/>
    </row>
    <row r="682249" spans="31:32" x14ac:dyDescent="0.25">
      <c r="AE682249" s="36"/>
      <c r="AF682249" s="36"/>
    </row>
    <row r="682345" spans="31:32" x14ac:dyDescent="0.25">
      <c r="AE682345" s="34"/>
      <c r="AF682345" s="34"/>
    </row>
    <row r="682353" spans="31:32" x14ac:dyDescent="0.25">
      <c r="AE682353" s="36"/>
      <c r="AF682353" s="36"/>
    </row>
    <row r="682449" spans="31:32" x14ac:dyDescent="0.25">
      <c r="AE682449" s="34"/>
      <c r="AF682449" s="34"/>
    </row>
    <row r="682457" spans="31:32" x14ac:dyDescent="0.25">
      <c r="AE682457" s="36"/>
      <c r="AF682457" s="36"/>
    </row>
    <row r="682553" spans="31:32" x14ac:dyDescent="0.25">
      <c r="AE682553" s="34"/>
      <c r="AF682553" s="34"/>
    </row>
    <row r="682561" spans="31:32" x14ac:dyDescent="0.25">
      <c r="AE682561" s="36"/>
      <c r="AF682561" s="36"/>
    </row>
    <row r="682657" spans="31:32" x14ac:dyDescent="0.25">
      <c r="AE682657" s="34"/>
      <c r="AF682657" s="34"/>
    </row>
    <row r="682665" spans="31:32" x14ac:dyDescent="0.25">
      <c r="AE682665" s="36"/>
      <c r="AF682665" s="36"/>
    </row>
    <row r="682761" spans="31:32" x14ac:dyDescent="0.25">
      <c r="AE682761" s="34"/>
      <c r="AF682761" s="34"/>
    </row>
    <row r="682769" spans="31:32" x14ac:dyDescent="0.25">
      <c r="AE682769" s="36"/>
      <c r="AF682769" s="36"/>
    </row>
    <row r="682865" spans="31:32" x14ac:dyDescent="0.25">
      <c r="AE682865" s="34"/>
      <c r="AF682865" s="34"/>
    </row>
    <row r="682873" spans="31:32" x14ac:dyDescent="0.25">
      <c r="AE682873" s="36"/>
      <c r="AF682873" s="36"/>
    </row>
    <row r="682969" spans="31:32" x14ac:dyDescent="0.25">
      <c r="AE682969" s="34"/>
      <c r="AF682969" s="34"/>
    </row>
    <row r="682977" spans="31:32" x14ac:dyDescent="0.25">
      <c r="AE682977" s="36"/>
      <c r="AF682977" s="36"/>
    </row>
    <row r="683073" spans="31:32" x14ac:dyDescent="0.25">
      <c r="AE683073" s="34"/>
      <c r="AF683073" s="34"/>
    </row>
    <row r="683081" spans="31:32" x14ac:dyDescent="0.25">
      <c r="AE683081" s="36"/>
      <c r="AF683081" s="36"/>
    </row>
    <row r="683177" spans="31:32" x14ac:dyDescent="0.25">
      <c r="AE683177" s="34"/>
      <c r="AF683177" s="34"/>
    </row>
    <row r="683185" spans="31:32" x14ac:dyDescent="0.25">
      <c r="AE683185" s="36"/>
      <c r="AF683185" s="36"/>
    </row>
    <row r="683281" spans="31:32" x14ac:dyDescent="0.25">
      <c r="AE683281" s="34"/>
      <c r="AF683281" s="34"/>
    </row>
    <row r="683289" spans="31:32" x14ac:dyDescent="0.25">
      <c r="AE683289" s="36"/>
      <c r="AF683289" s="36"/>
    </row>
    <row r="683385" spans="31:32" x14ac:dyDescent="0.25">
      <c r="AE683385" s="34"/>
      <c r="AF683385" s="34"/>
    </row>
    <row r="683393" spans="31:32" x14ac:dyDescent="0.25">
      <c r="AE683393" s="36"/>
      <c r="AF683393" s="36"/>
    </row>
    <row r="683489" spans="31:32" x14ac:dyDescent="0.25">
      <c r="AE683489" s="34"/>
      <c r="AF683489" s="34"/>
    </row>
    <row r="683497" spans="31:32" x14ac:dyDescent="0.25">
      <c r="AE683497" s="36"/>
      <c r="AF683497" s="36"/>
    </row>
    <row r="683593" spans="31:32" x14ac:dyDescent="0.25">
      <c r="AE683593" s="34"/>
      <c r="AF683593" s="34"/>
    </row>
    <row r="683601" spans="31:32" x14ac:dyDescent="0.25">
      <c r="AE683601" s="36"/>
      <c r="AF683601" s="36"/>
    </row>
    <row r="683697" spans="31:32" x14ac:dyDescent="0.25">
      <c r="AE683697" s="34"/>
      <c r="AF683697" s="34"/>
    </row>
    <row r="683705" spans="31:32" x14ac:dyDescent="0.25">
      <c r="AE683705" s="36"/>
      <c r="AF683705" s="36"/>
    </row>
    <row r="683801" spans="31:32" x14ac:dyDescent="0.25">
      <c r="AE683801" s="34"/>
      <c r="AF683801" s="34"/>
    </row>
    <row r="683809" spans="31:32" x14ac:dyDescent="0.25">
      <c r="AE683809" s="36"/>
      <c r="AF683809" s="36"/>
    </row>
    <row r="683905" spans="31:32" x14ac:dyDescent="0.25">
      <c r="AE683905" s="34"/>
      <c r="AF683905" s="34"/>
    </row>
    <row r="683913" spans="31:32" x14ac:dyDescent="0.25">
      <c r="AE683913" s="36"/>
      <c r="AF683913" s="36"/>
    </row>
    <row r="684009" spans="31:32" x14ac:dyDescent="0.25">
      <c r="AE684009" s="34"/>
      <c r="AF684009" s="34"/>
    </row>
    <row r="684017" spans="31:32" x14ac:dyDescent="0.25">
      <c r="AE684017" s="36"/>
      <c r="AF684017" s="36"/>
    </row>
    <row r="684113" spans="31:32" x14ac:dyDescent="0.25">
      <c r="AE684113" s="34"/>
      <c r="AF684113" s="34"/>
    </row>
    <row r="684121" spans="31:32" x14ac:dyDescent="0.25">
      <c r="AE684121" s="36"/>
      <c r="AF684121" s="36"/>
    </row>
    <row r="684217" spans="31:32" x14ac:dyDescent="0.25">
      <c r="AE684217" s="34"/>
      <c r="AF684217" s="34"/>
    </row>
    <row r="684225" spans="31:32" x14ac:dyDescent="0.25">
      <c r="AE684225" s="36"/>
      <c r="AF684225" s="36"/>
    </row>
    <row r="684321" spans="31:32" x14ac:dyDescent="0.25">
      <c r="AE684321" s="34"/>
      <c r="AF684321" s="34"/>
    </row>
    <row r="684329" spans="31:32" x14ac:dyDescent="0.25">
      <c r="AE684329" s="36"/>
      <c r="AF684329" s="36"/>
    </row>
    <row r="684425" spans="31:32" x14ac:dyDescent="0.25">
      <c r="AE684425" s="34"/>
      <c r="AF684425" s="34"/>
    </row>
    <row r="684433" spans="31:32" x14ac:dyDescent="0.25">
      <c r="AE684433" s="36"/>
      <c r="AF684433" s="36"/>
    </row>
    <row r="684529" spans="31:32" x14ac:dyDescent="0.25">
      <c r="AE684529" s="34"/>
      <c r="AF684529" s="34"/>
    </row>
    <row r="684537" spans="31:32" x14ac:dyDescent="0.25">
      <c r="AE684537" s="36"/>
      <c r="AF684537" s="36"/>
    </row>
    <row r="684633" spans="31:32" x14ac:dyDescent="0.25">
      <c r="AE684633" s="34"/>
      <c r="AF684633" s="34"/>
    </row>
    <row r="684641" spans="31:32" x14ac:dyDescent="0.25">
      <c r="AE684641" s="36"/>
      <c r="AF684641" s="36"/>
    </row>
    <row r="684737" spans="31:32" x14ac:dyDescent="0.25">
      <c r="AE684737" s="34"/>
      <c r="AF684737" s="34"/>
    </row>
    <row r="684745" spans="31:32" x14ac:dyDescent="0.25">
      <c r="AE684745" s="36"/>
      <c r="AF684745" s="36"/>
    </row>
    <row r="684841" spans="31:32" x14ac:dyDescent="0.25">
      <c r="AE684841" s="34"/>
      <c r="AF684841" s="34"/>
    </row>
    <row r="684849" spans="31:32" x14ac:dyDescent="0.25">
      <c r="AE684849" s="36"/>
      <c r="AF684849" s="36"/>
    </row>
    <row r="684945" spans="31:32" x14ac:dyDescent="0.25">
      <c r="AE684945" s="34"/>
      <c r="AF684945" s="34"/>
    </row>
    <row r="684953" spans="31:32" x14ac:dyDescent="0.25">
      <c r="AE684953" s="36"/>
      <c r="AF684953" s="36"/>
    </row>
    <row r="685049" spans="31:32" x14ac:dyDescent="0.25">
      <c r="AE685049" s="34"/>
      <c r="AF685049" s="34"/>
    </row>
    <row r="685057" spans="31:32" x14ac:dyDescent="0.25">
      <c r="AE685057" s="36"/>
      <c r="AF685057" s="36"/>
    </row>
    <row r="685153" spans="31:32" x14ac:dyDescent="0.25">
      <c r="AE685153" s="34"/>
      <c r="AF685153" s="34"/>
    </row>
    <row r="685161" spans="31:32" x14ac:dyDescent="0.25">
      <c r="AE685161" s="36"/>
      <c r="AF685161" s="36"/>
    </row>
    <row r="685257" spans="31:32" x14ac:dyDescent="0.25">
      <c r="AE685257" s="34"/>
      <c r="AF685257" s="34"/>
    </row>
    <row r="685265" spans="31:32" x14ac:dyDescent="0.25">
      <c r="AE685265" s="36"/>
      <c r="AF685265" s="36"/>
    </row>
    <row r="685361" spans="31:32" x14ac:dyDescent="0.25">
      <c r="AE685361" s="34"/>
      <c r="AF685361" s="34"/>
    </row>
    <row r="685369" spans="31:32" x14ac:dyDescent="0.25">
      <c r="AE685369" s="36"/>
      <c r="AF685369" s="36"/>
    </row>
    <row r="685465" spans="31:32" x14ac:dyDescent="0.25">
      <c r="AE685465" s="34"/>
      <c r="AF685465" s="34"/>
    </row>
    <row r="685473" spans="31:32" x14ac:dyDescent="0.25">
      <c r="AE685473" s="36"/>
      <c r="AF685473" s="36"/>
    </row>
    <row r="685569" spans="31:32" x14ac:dyDescent="0.25">
      <c r="AE685569" s="34"/>
      <c r="AF685569" s="34"/>
    </row>
    <row r="685577" spans="31:32" x14ac:dyDescent="0.25">
      <c r="AE685577" s="36"/>
      <c r="AF685577" s="36"/>
    </row>
    <row r="685673" spans="31:32" x14ac:dyDescent="0.25">
      <c r="AE685673" s="34"/>
      <c r="AF685673" s="34"/>
    </row>
    <row r="685681" spans="31:32" x14ac:dyDescent="0.25">
      <c r="AE685681" s="36"/>
      <c r="AF685681" s="36"/>
    </row>
    <row r="685777" spans="31:32" x14ac:dyDescent="0.25">
      <c r="AE685777" s="34"/>
      <c r="AF685777" s="34"/>
    </row>
    <row r="685785" spans="31:32" x14ac:dyDescent="0.25">
      <c r="AE685785" s="36"/>
      <c r="AF685785" s="36"/>
    </row>
    <row r="685881" spans="31:32" x14ac:dyDescent="0.25">
      <c r="AE685881" s="34"/>
      <c r="AF685881" s="34"/>
    </row>
    <row r="685889" spans="31:32" x14ac:dyDescent="0.25">
      <c r="AE685889" s="36"/>
      <c r="AF685889" s="36"/>
    </row>
    <row r="685985" spans="31:32" x14ac:dyDescent="0.25">
      <c r="AE685985" s="34"/>
      <c r="AF685985" s="34"/>
    </row>
    <row r="685993" spans="31:32" x14ac:dyDescent="0.25">
      <c r="AE685993" s="36"/>
      <c r="AF685993" s="36"/>
    </row>
    <row r="686089" spans="31:32" x14ac:dyDescent="0.25">
      <c r="AE686089" s="34"/>
      <c r="AF686089" s="34"/>
    </row>
    <row r="686097" spans="31:32" x14ac:dyDescent="0.25">
      <c r="AE686097" s="36"/>
      <c r="AF686097" s="36"/>
    </row>
    <row r="686193" spans="31:32" x14ac:dyDescent="0.25">
      <c r="AE686193" s="34"/>
      <c r="AF686193" s="34"/>
    </row>
    <row r="686201" spans="31:32" x14ac:dyDescent="0.25">
      <c r="AE686201" s="36"/>
      <c r="AF686201" s="36"/>
    </row>
    <row r="686297" spans="31:32" x14ac:dyDescent="0.25">
      <c r="AE686297" s="34"/>
      <c r="AF686297" s="34"/>
    </row>
    <row r="686305" spans="31:32" x14ac:dyDescent="0.25">
      <c r="AE686305" s="36"/>
      <c r="AF686305" s="36"/>
    </row>
    <row r="686401" spans="31:32" x14ac:dyDescent="0.25">
      <c r="AE686401" s="34"/>
      <c r="AF686401" s="34"/>
    </row>
    <row r="686409" spans="31:32" x14ac:dyDescent="0.25">
      <c r="AE686409" s="36"/>
      <c r="AF686409" s="36"/>
    </row>
    <row r="686505" spans="31:32" x14ac:dyDescent="0.25">
      <c r="AE686505" s="34"/>
      <c r="AF686505" s="34"/>
    </row>
    <row r="686513" spans="31:32" x14ac:dyDescent="0.25">
      <c r="AE686513" s="36"/>
      <c r="AF686513" s="36"/>
    </row>
    <row r="686609" spans="31:32" x14ac:dyDescent="0.25">
      <c r="AE686609" s="34"/>
      <c r="AF686609" s="34"/>
    </row>
    <row r="686617" spans="31:32" x14ac:dyDescent="0.25">
      <c r="AE686617" s="36"/>
      <c r="AF686617" s="36"/>
    </row>
    <row r="686713" spans="31:32" x14ac:dyDescent="0.25">
      <c r="AE686713" s="34"/>
      <c r="AF686713" s="34"/>
    </row>
    <row r="686721" spans="31:32" x14ac:dyDescent="0.25">
      <c r="AE686721" s="36"/>
      <c r="AF686721" s="36"/>
    </row>
    <row r="686817" spans="31:32" x14ac:dyDescent="0.25">
      <c r="AE686817" s="34"/>
      <c r="AF686817" s="34"/>
    </row>
    <row r="686825" spans="31:32" x14ac:dyDescent="0.25">
      <c r="AE686825" s="36"/>
      <c r="AF686825" s="36"/>
    </row>
    <row r="686921" spans="31:32" x14ac:dyDescent="0.25">
      <c r="AE686921" s="34"/>
      <c r="AF686921" s="34"/>
    </row>
    <row r="686929" spans="31:32" x14ac:dyDescent="0.25">
      <c r="AE686929" s="36"/>
      <c r="AF686929" s="36"/>
    </row>
    <row r="687025" spans="31:32" x14ac:dyDescent="0.25">
      <c r="AE687025" s="34"/>
      <c r="AF687025" s="34"/>
    </row>
    <row r="687033" spans="31:32" x14ac:dyDescent="0.25">
      <c r="AE687033" s="36"/>
      <c r="AF687033" s="36"/>
    </row>
    <row r="687129" spans="31:32" x14ac:dyDescent="0.25">
      <c r="AE687129" s="34"/>
      <c r="AF687129" s="34"/>
    </row>
    <row r="687137" spans="31:32" x14ac:dyDescent="0.25">
      <c r="AE687137" s="36"/>
      <c r="AF687137" s="36"/>
    </row>
    <row r="687233" spans="31:32" x14ac:dyDescent="0.25">
      <c r="AE687233" s="34"/>
      <c r="AF687233" s="34"/>
    </row>
    <row r="687241" spans="31:32" x14ac:dyDescent="0.25">
      <c r="AE687241" s="36"/>
      <c r="AF687241" s="36"/>
    </row>
    <row r="687337" spans="31:32" x14ac:dyDescent="0.25">
      <c r="AE687337" s="34"/>
      <c r="AF687337" s="34"/>
    </row>
    <row r="687345" spans="31:32" x14ac:dyDescent="0.25">
      <c r="AE687345" s="36"/>
      <c r="AF687345" s="36"/>
    </row>
    <row r="687441" spans="31:32" x14ac:dyDescent="0.25">
      <c r="AE687441" s="34"/>
      <c r="AF687441" s="34"/>
    </row>
    <row r="687449" spans="31:32" x14ac:dyDescent="0.25">
      <c r="AE687449" s="36"/>
      <c r="AF687449" s="36"/>
    </row>
    <row r="687545" spans="31:32" x14ac:dyDescent="0.25">
      <c r="AE687545" s="34"/>
      <c r="AF687545" s="34"/>
    </row>
    <row r="687553" spans="31:32" x14ac:dyDescent="0.25">
      <c r="AE687553" s="36"/>
      <c r="AF687553" s="36"/>
    </row>
    <row r="687649" spans="31:32" x14ac:dyDescent="0.25">
      <c r="AE687649" s="34"/>
      <c r="AF687649" s="34"/>
    </row>
    <row r="687657" spans="31:32" x14ac:dyDescent="0.25">
      <c r="AE687657" s="36"/>
      <c r="AF687657" s="36"/>
    </row>
    <row r="687753" spans="31:32" x14ac:dyDescent="0.25">
      <c r="AE687753" s="34"/>
      <c r="AF687753" s="34"/>
    </row>
    <row r="687761" spans="31:32" x14ac:dyDescent="0.25">
      <c r="AE687761" s="36"/>
      <c r="AF687761" s="36"/>
    </row>
    <row r="687857" spans="31:32" x14ac:dyDescent="0.25">
      <c r="AE687857" s="34"/>
      <c r="AF687857" s="34"/>
    </row>
    <row r="687865" spans="31:32" x14ac:dyDescent="0.25">
      <c r="AE687865" s="36"/>
      <c r="AF687865" s="36"/>
    </row>
    <row r="687961" spans="31:32" x14ac:dyDescent="0.25">
      <c r="AE687961" s="34"/>
      <c r="AF687961" s="34"/>
    </row>
    <row r="687969" spans="31:32" x14ac:dyDescent="0.25">
      <c r="AE687969" s="36"/>
      <c r="AF687969" s="36"/>
    </row>
    <row r="688065" spans="31:32" x14ac:dyDescent="0.25">
      <c r="AE688065" s="34"/>
      <c r="AF688065" s="34"/>
    </row>
    <row r="688073" spans="31:32" x14ac:dyDescent="0.25">
      <c r="AE688073" s="36"/>
      <c r="AF688073" s="36"/>
    </row>
    <row r="688169" spans="31:32" x14ac:dyDescent="0.25">
      <c r="AE688169" s="34"/>
      <c r="AF688169" s="34"/>
    </row>
    <row r="688177" spans="31:32" x14ac:dyDescent="0.25">
      <c r="AE688177" s="36"/>
      <c r="AF688177" s="36"/>
    </row>
    <row r="688273" spans="31:32" x14ac:dyDescent="0.25">
      <c r="AE688273" s="34"/>
      <c r="AF688273" s="34"/>
    </row>
    <row r="688281" spans="31:32" x14ac:dyDescent="0.25">
      <c r="AE688281" s="36"/>
      <c r="AF688281" s="36"/>
    </row>
    <row r="688377" spans="31:32" x14ac:dyDescent="0.25">
      <c r="AE688377" s="34"/>
      <c r="AF688377" s="34"/>
    </row>
    <row r="688385" spans="31:32" x14ac:dyDescent="0.25">
      <c r="AE688385" s="36"/>
      <c r="AF688385" s="36"/>
    </row>
    <row r="688481" spans="31:32" x14ac:dyDescent="0.25">
      <c r="AE688481" s="34"/>
      <c r="AF688481" s="34"/>
    </row>
    <row r="688489" spans="31:32" x14ac:dyDescent="0.25">
      <c r="AE688489" s="36"/>
      <c r="AF688489" s="36"/>
    </row>
    <row r="688585" spans="31:32" x14ac:dyDescent="0.25">
      <c r="AE688585" s="34"/>
      <c r="AF688585" s="34"/>
    </row>
    <row r="688593" spans="31:32" x14ac:dyDescent="0.25">
      <c r="AE688593" s="36"/>
      <c r="AF688593" s="36"/>
    </row>
    <row r="688689" spans="31:32" x14ac:dyDescent="0.25">
      <c r="AE688689" s="34"/>
      <c r="AF688689" s="34"/>
    </row>
    <row r="688697" spans="31:32" x14ac:dyDescent="0.25">
      <c r="AE688697" s="36"/>
      <c r="AF688697" s="36"/>
    </row>
    <row r="688793" spans="31:32" x14ac:dyDescent="0.25">
      <c r="AE688793" s="34"/>
      <c r="AF688793" s="34"/>
    </row>
    <row r="688801" spans="31:32" x14ac:dyDescent="0.25">
      <c r="AE688801" s="36"/>
      <c r="AF688801" s="36"/>
    </row>
    <row r="688897" spans="31:32" x14ac:dyDescent="0.25">
      <c r="AE688897" s="34"/>
      <c r="AF688897" s="34"/>
    </row>
    <row r="688905" spans="31:32" x14ac:dyDescent="0.25">
      <c r="AE688905" s="36"/>
      <c r="AF688905" s="36"/>
    </row>
    <row r="689001" spans="31:32" x14ac:dyDescent="0.25">
      <c r="AE689001" s="34"/>
      <c r="AF689001" s="34"/>
    </row>
    <row r="689009" spans="31:32" x14ac:dyDescent="0.25">
      <c r="AE689009" s="36"/>
      <c r="AF689009" s="36"/>
    </row>
    <row r="689105" spans="31:32" x14ac:dyDescent="0.25">
      <c r="AE689105" s="34"/>
      <c r="AF689105" s="34"/>
    </row>
    <row r="689113" spans="31:32" x14ac:dyDescent="0.25">
      <c r="AE689113" s="36"/>
      <c r="AF689113" s="36"/>
    </row>
    <row r="689209" spans="31:32" x14ac:dyDescent="0.25">
      <c r="AE689209" s="34"/>
      <c r="AF689209" s="34"/>
    </row>
    <row r="689217" spans="31:32" x14ac:dyDescent="0.25">
      <c r="AE689217" s="36"/>
      <c r="AF689217" s="36"/>
    </row>
    <row r="689313" spans="31:32" x14ac:dyDescent="0.25">
      <c r="AE689313" s="34"/>
      <c r="AF689313" s="34"/>
    </row>
    <row r="689321" spans="31:32" x14ac:dyDescent="0.25">
      <c r="AE689321" s="36"/>
      <c r="AF689321" s="36"/>
    </row>
    <row r="689417" spans="31:32" x14ac:dyDescent="0.25">
      <c r="AE689417" s="34"/>
      <c r="AF689417" s="34"/>
    </row>
    <row r="689425" spans="31:32" x14ac:dyDescent="0.25">
      <c r="AE689425" s="36"/>
      <c r="AF689425" s="36"/>
    </row>
    <row r="689521" spans="31:32" x14ac:dyDescent="0.25">
      <c r="AE689521" s="34"/>
      <c r="AF689521" s="34"/>
    </row>
    <row r="689529" spans="31:32" x14ac:dyDescent="0.25">
      <c r="AE689529" s="36"/>
      <c r="AF689529" s="36"/>
    </row>
    <row r="689625" spans="31:32" x14ac:dyDescent="0.25">
      <c r="AE689625" s="34"/>
      <c r="AF689625" s="34"/>
    </row>
    <row r="689633" spans="31:32" x14ac:dyDescent="0.25">
      <c r="AE689633" s="36"/>
      <c r="AF689633" s="36"/>
    </row>
    <row r="689729" spans="31:32" x14ac:dyDescent="0.25">
      <c r="AE689729" s="34"/>
      <c r="AF689729" s="34"/>
    </row>
    <row r="689737" spans="31:32" x14ac:dyDescent="0.25">
      <c r="AE689737" s="36"/>
      <c r="AF689737" s="36"/>
    </row>
    <row r="689833" spans="31:32" x14ac:dyDescent="0.25">
      <c r="AE689833" s="34"/>
      <c r="AF689833" s="34"/>
    </row>
    <row r="689841" spans="31:32" x14ac:dyDescent="0.25">
      <c r="AE689841" s="36"/>
      <c r="AF689841" s="36"/>
    </row>
    <row r="689937" spans="31:32" x14ac:dyDescent="0.25">
      <c r="AE689937" s="34"/>
      <c r="AF689937" s="34"/>
    </row>
    <row r="689945" spans="31:32" x14ac:dyDescent="0.25">
      <c r="AE689945" s="36"/>
      <c r="AF689945" s="36"/>
    </row>
    <row r="690041" spans="31:32" x14ac:dyDescent="0.25">
      <c r="AE690041" s="34"/>
      <c r="AF690041" s="34"/>
    </row>
    <row r="690049" spans="31:32" x14ac:dyDescent="0.25">
      <c r="AE690049" s="36"/>
      <c r="AF690049" s="36"/>
    </row>
    <row r="690145" spans="31:32" x14ac:dyDescent="0.25">
      <c r="AE690145" s="34"/>
      <c r="AF690145" s="34"/>
    </row>
    <row r="690153" spans="31:32" x14ac:dyDescent="0.25">
      <c r="AE690153" s="36"/>
      <c r="AF690153" s="36"/>
    </row>
    <row r="690249" spans="31:32" x14ac:dyDescent="0.25">
      <c r="AE690249" s="34"/>
      <c r="AF690249" s="34"/>
    </row>
    <row r="690257" spans="31:32" x14ac:dyDescent="0.25">
      <c r="AE690257" s="36"/>
      <c r="AF690257" s="36"/>
    </row>
    <row r="690353" spans="31:32" x14ac:dyDescent="0.25">
      <c r="AE690353" s="34"/>
      <c r="AF690353" s="34"/>
    </row>
    <row r="690361" spans="31:32" x14ac:dyDescent="0.25">
      <c r="AE690361" s="36"/>
      <c r="AF690361" s="36"/>
    </row>
    <row r="690457" spans="31:32" x14ac:dyDescent="0.25">
      <c r="AE690457" s="34"/>
      <c r="AF690457" s="34"/>
    </row>
    <row r="690465" spans="31:32" x14ac:dyDescent="0.25">
      <c r="AE690465" s="36"/>
      <c r="AF690465" s="36"/>
    </row>
    <row r="690561" spans="31:32" x14ac:dyDescent="0.25">
      <c r="AE690561" s="34"/>
      <c r="AF690561" s="34"/>
    </row>
    <row r="690569" spans="31:32" x14ac:dyDescent="0.25">
      <c r="AE690569" s="36"/>
      <c r="AF690569" s="36"/>
    </row>
    <row r="690665" spans="31:32" x14ac:dyDescent="0.25">
      <c r="AE690665" s="34"/>
      <c r="AF690665" s="34"/>
    </row>
    <row r="690673" spans="31:32" x14ac:dyDescent="0.25">
      <c r="AE690673" s="36"/>
      <c r="AF690673" s="36"/>
    </row>
    <row r="690769" spans="31:32" x14ac:dyDescent="0.25">
      <c r="AE690769" s="34"/>
      <c r="AF690769" s="34"/>
    </row>
    <row r="690777" spans="31:32" x14ac:dyDescent="0.25">
      <c r="AE690777" s="36"/>
      <c r="AF690777" s="36"/>
    </row>
    <row r="690873" spans="31:32" x14ac:dyDescent="0.25">
      <c r="AE690873" s="34"/>
      <c r="AF690873" s="34"/>
    </row>
    <row r="690881" spans="31:32" x14ac:dyDescent="0.25">
      <c r="AE690881" s="36"/>
      <c r="AF690881" s="36"/>
    </row>
    <row r="690977" spans="31:32" x14ac:dyDescent="0.25">
      <c r="AE690977" s="34"/>
      <c r="AF690977" s="34"/>
    </row>
    <row r="690985" spans="31:32" x14ac:dyDescent="0.25">
      <c r="AE690985" s="36"/>
      <c r="AF690985" s="36"/>
    </row>
    <row r="691081" spans="31:32" x14ac:dyDescent="0.25">
      <c r="AE691081" s="34"/>
      <c r="AF691081" s="34"/>
    </row>
    <row r="691089" spans="31:32" x14ac:dyDescent="0.25">
      <c r="AE691089" s="36"/>
      <c r="AF691089" s="36"/>
    </row>
    <row r="691185" spans="31:32" x14ac:dyDescent="0.25">
      <c r="AE691185" s="34"/>
      <c r="AF691185" s="34"/>
    </row>
    <row r="691193" spans="31:32" x14ac:dyDescent="0.25">
      <c r="AE691193" s="36"/>
      <c r="AF691193" s="36"/>
    </row>
    <row r="691289" spans="31:32" x14ac:dyDescent="0.25">
      <c r="AE691289" s="34"/>
      <c r="AF691289" s="34"/>
    </row>
    <row r="691297" spans="31:32" x14ac:dyDescent="0.25">
      <c r="AE691297" s="36"/>
      <c r="AF691297" s="36"/>
    </row>
    <row r="691393" spans="31:32" x14ac:dyDescent="0.25">
      <c r="AE691393" s="34"/>
      <c r="AF691393" s="34"/>
    </row>
    <row r="691401" spans="31:32" x14ac:dyDescent="0.25">
      <c r="AE691401" s="36"/>
      <c r="AF691401" s="36"/>
    </row>
    <row r="691497" spans="31:32" x14ac:dyDescent="0.25">
      <c r="AE691497" s="34"/>
      <c r="AF691497" s="34"/>
    </row>
    <row r="691505" spans="31:32" x14ac:dyDescent="0.25">
      <c r="AE691505" s="36"/>
      <c r="AF691505" s="36"/>
    </row>
    <row r="691601" spans="31:32" x14ac:dyDescent="0.25">
      <c r="AE691601" s="34"/>
      <c r="AF691601" s="34"/>
    </row>
    <row r="691609" spans="31:32" x14ac:dyDescent="0.25">
      <c r="AE691609" s="36"/>
      <c r="AF691609" s="36"/>
    </row>
    <row r="691705" spans="31:32" x14ac:dyDescent="0.25">
      <c r="AE691705" s="34"/>
      <c r="AF691705" s="34"/>
    </row>
    <row r="691713" spans="31:32" x14ac:dyDescent="0.25">
      <c r="AE691713" s="36"/>
      <c r="AF691713" s="36"/>
    </row>
    <row r="691809" spans="31:32" x14ac:dyDescent="0.25">
      <c r="AE691809" s="34"/>
      <c r="AF691809" s="34"/>
    </row>
    <row r="691817" spans="31:32" x14ac:dyDescent="0.25">
      <c r="AE691817" s="36"/>
      <c r="AF691817" s="36"/>
    </row>
    <row r="691913" spans="31:32" x14ac:dyDescent="0.25">
      <c r="AE691913" s="34"/>
      <c r="AF691913" s="34"/>
    </row>
    <row r="691921" spans="31:32" x14ac:dyDescent="0.25">
      <c r="AE691921" s="36"/>
      <c r="AF691921" s="36"/>
    </row>
    <row r="692017" spans="31:32" x14ac:dyDescent="0.25">
      <c r="AE692017" s="34"/>
      <c r="AF692017" s="34"/>
    </row>
    <row r="692025" spans="31:32" x14ac:dyDescent="0.25">
      <c r="AE692025" s="36"/>
      <c r="AF692025" s="36"/>
    </row>
    <row r="692121" spans="31:32" x14ac:dyDescent="0.25">
      <c r="AE692121" s="34"/>
      <c r="AF692121" s="34"/>
    </row>
    <row r="692129" spans="31:32" x14ac:dyDescent="0.25">
      <c r="AE692129" s="36"/>
      <c r="AF692129" s="36"/>
    </row>
    <row r="692225" spans="31:32" x14ac:dyDescent="0.25">
      <c r="AE692225" s="34"/>
      <c r="AF692225" s="34"/>
    </row>
    <row r="692233" spans="31:32" x14ac:dyDescent="0.25">
      <c r="AE692233" s="36"/>
      <c r="AF692233" s="36"/>
    </row>
    <row r="692329" spans="31:32" x14ac:dyDescent="0.25">
      <c r="AE692329" s="34"/>
      <c r="AF692329" s="34"/>
    </row>
    <row r="692337" spans="31:32" x14ac:dyDescent="0.25">
      <c r="AE692337" s="36"/>
      <c r="AF692337" s="36"/>
    </row>
    <row r="692433" spans="31:32" x14ac:dyDescent="0.25">
      <c r="AE692433" s="34"/>
      <c r="AF692433" s="34"/>
    </row>
    <row r="692441" spans="31:32" x14ac:dyDescent="0.25">
      <c r="AE692441" s="36"/>
      <c r="AF692441" s="36"/>
    </row>
    <row r="692537" spans="31:32" x14ac:dyDescent="0.25">
      <c r="AE692537" s="34"/>
      <c r="AF692537" s="34"/>
    </row>
    <row r="692545" spans="31:32" x14ac:dyDescent="0.25">
      <c r="AE692545" s="36"/>
      <c r="AF692545" s="36"/>
    </row>
    <row r="692641" spans="31:32" x14ac:dyDescent="0.25">
      <c r="AE692641" s="34"/>
      <c r="AF692641" s="34"/>
    </row>
    <row r="692649" spans="31:32" x14ac:dyDescent="0.25">
      <c r="AE692649" s="36"/>
      <c r="AF692649" s="36"/>
    </row>
    <row r="692745" spans="31:32" x14ac:dyDescent="0.25">
      <c r="AE692745" s="34"/>
      <c r="AF692745" s="34"/>
    </row>
    <row r="692753" spans="31:32" x14ac:dyDescent="0.25">
      <c r="AE692753" s="36"/>
      <c r="AF692753" s="36"/>
    </row>
    <row r="692849" spans="31:32" x14ac:dyDescent="0.25">
      <c r="AE692849" s="34"/>
      <c r="AF692849" s="34"/>
    </row>
    <row r="692857" spans="31:32" x14ac:dyDescent="0.25">
      <c r="AE692857" s="36"/>
      <c r="AF692857" s="36"/>
    </row>
    <row r="692953" spans="31:32" x14ac:dyDescent="0.25">
      <c r="AE692953" s="34"/>
      <c r="AF692953" s="34"/>
    </row>
    <row r="692961" spans="31:32" x14ac:dyDescent="0.25">
      <c r="AE692961" s="36"/>
      <c r="AF692961" s="36"/>
    </row>
    <row r="693057" spans="31:32" x14ac:dyDescent="0.25">
      <c r="AE693057" s="34"/>
      <c r="AF693057" s="34"/>
    </row>
    <row r="693065" spans="31:32" x14ac:dyDescent="0.25">
      <c r="AE693065" s="36"/>
      <c r="AF693065" s="36"/>
    </row>
    <row r="693161" spans="31:32" x14ac:dyDescent="0.25">
      <c r="AE693161" s="34"/>
      <c r="AF693161" s="34"/>
    </row>
    <row r="693169" spans="31:32" x14ac:dyDescent="0.25">
      <c r="AE693169" s="36"/>
      <c r="AF693169" s="36"/>
    </row>
    <row r="693265" spans="31:32" x14ac:dyDescent="0.25">
      <c r="AE693265" s="34"/>
      <c r="AF693265" s="34"/>
    </row>
    <row r="693273" spans="31:32" x14ac:dyDescent="0.25">
      <c r="AE693273" s="36"/>
      <c r="AF693273" s="36"/>
    </row>
    <row r="693369" spans="31:32" x14ac:dyDescent="0.25">
      <c r="AE693369" s="34"/>
      <c r="AF693369" s="34"/>
    </row>
    <row r="693377" spans="31:32" x14ac:dyDescent="0.25">
      <c r="AE693377" s="36"/>
      <c r="AF693377" s="36"/>
    </row>
    <row r="693473" spans="31:32" x14ac:dyDescent="0.25">
      <c r="AE693473" s="34"/>
      <c r="AF693473" s="34"/>
    </row>
    <row r="693481" spans="31:32" x14ac:dyDescent="0.25">
      <c r="AE693481" s="36"/>
      <c r="AF693481" s="36"/>
    </row>
    <row r="693577" spans="31:32" x14ac:dyDescent="0.25">
      <c r="AE693577" s="34"/>
      <c r="AF693577" s="34"/>
    </row>
    <row r="693585" spans="31:32" x14ac:dyDescent="0.25">
      <c r="AE693585" s="36"/>
      <c r="AF693585" s="36"/>
    </row>
    <row r="693681" spans="31:32" x14ac:dyDescent="0.25">
      <c r="AE693681" s="34"/>
      <c r="AF693681" s="34"/>
    </row>
    <row r="693689" spans="31:32" x14ac:dyDescent="0.25">
      <c r="AE693689" s="36"/>
      <c r="AF693689" s="36"/>
    </row>
    <row r="693785" spans="31:32" x14ac:dyDescent="0.25">
      <c r="AE693785" s="34"/>
      <c r="AF693785" s="34"/>
    </row>
    <row r="693793" spans="31:32" x14ac:dyDescent="0.25">
      <c r="AE693793" s="36"/>
      <c r="AF693793" s="36"/>
    </row>
    <row r="693889" spans="31:32" x14ac:dyDescent="0.25">
      <c r="AE693889" s="34"/>
      <c r="AF693889" s="34"/>
    </row>
    <row r="693897" spans="31:32" x14ac:dyDescent="0.25">
      <c r="AE693897" s="36"/>
      <c r="AF693897" s="36"/>
    </row>
    <row r="693993" spans="31:32" x14ac:dyDescent="0.25">
      <c r="AE693993" s="34"/>
      <c r="AF693993" s="34"/>
    </row>
    <row r="694001" spans="31:32" x14ac:dyDescent="0.25">
      <c r="AE694001" s="36"/>
      <c r="AF694001" s="36"/>
    </row>
    <row r="694097" spans="31:32" x14ac:dyDescent="0.25">
      <c r="AE694097" s="34"/>
      <c r="AF694097" s="34"/>
    </row>
    <row r="694105" spans="31:32" x14ac:dyDescent="0.25">
      <c r="AE694105" s="36"/>
      <c r="AF694105" s="36"/>
    </row>
    <row r="694201" spans="31:32" x14ac:dyDescent="0.25">
      <c r="AE694201" s="34"/>
      <c r="AF694201" s="34"/>
    </row>
    <row r="694209" spans="31:32" x14ac:dyDescent="0.25">
      <c r="AE694209" s="36"/>
      <c r="AF694209" s="36"/>
    </row>
    <row r="694305" spans="31:32" x14ac:dyDescent="0.25">
      <c r="AE694305" s="34"/>
      <c r="AF694305" s="34"/>
    </row>
    <row r="694313" spans="31:32" x14ac:dyDescent="0.25">
      <c r="AE694313" s="36"/>
      <c r="AF694313" s="36"/>
    </row>
    <row r="694409" spans="31:32" x14ac:dyDescent="0.25">
      <c r="AE694409" s="34"/>
      <c r="AF694409" s="34"/>
    </row>
    <row r="694417" spans="31:32" x14ac:dyDescent="0.25">
      <c r="AE694417" s="36"/>
      <c r="AF694417" s="36"/>
    </row>
    <row r="694513" spans="31:32" x14ac:dyDescent="0.25">
      <c r="AE694513" s="34"/>
      <c r="AF694513" s="34"/>
    </row>
    <row r="694521" spans="31:32" x14ac:dyDescent="0.25">
      <c r="AE694521" s="36"/>
      <c r="AF694521" s="36"/>
    </row>
    <row r="694617" spans="31:32" x14ac:dyDescent="0.25">
      <c r="AE694617" s="34"/>
      <c r="AF694617" s="34"/>
    </row>
    <row r="694625" spans="31:32" x14ac:dyDescent="0.25">
      <c r="AE694625" s="36"/>
      <c r="AF694625" s="36"/>
    </row>
    <row r="694721" spans="31:32" x14ac:dyDescent="0.25">
      <c r="AE694721" s="34"/>
      <c r="AF694721" s="34"/>
    </row>
    <row r="694729" spans="31:32" x14ac:dyDescent="0.25">
      <c r="AE694729" s="36"/>
      <c r="AF694729" s="36"/>
    </row>
    <row r="694825" spans="31:32" x14ac:dyDescent="0.25">
      <c r="AE694825" s="34"/>
      <c r="AF694825" s="34"/>
    </row>
    <row r="694833" spans="31:32" x14ac:dyDescent="0.25">
      <c r="AE694833" s="36"/>
      <c r="AF694833" s="36"/>
    </row>
    <row r="694929" spans="31:32" x14ac:dyDescent="0.25">
      <c r="AE694929" s="34"/>
      <c r="AF694929" s="34"/>
    </row>
    <row r="694937" spans="31:32" x14ac:dyDescent="0.25">
      <c r="AE694937" s="36"/>
      <c r="AF694937" s="36"/>
    </row>
    <row r="695033" spans="31:32" x14ac:dyDescent="0.25">
      <c r="AE695033" s="34"/>
      <c r="AF695033" s="34"/>
    </row>
    <row r="695041" spans="31:32" x14ac:dyDescent="0.25">
      <c r="AE695041" s="36"/>
      <c r="AF695041" s="36"/>
    </row>
    <row r="695137" spans="31:32" x14ac:dyDescent="0.25">
      <c r="AE695137" s="34"/>
      <c r="AF695137" s="34"/>
    </row>
    <row r="695145" spans="31:32" x14ac:dyDescent="0.25">
      <c r="AE695145" s="36"/>
      <c r="AF695145" s="36"/>
    </row>
    <row r="695241" spans="31:32" x14ac:dyDescent="0.25">
      <c r="AE695241" s="34"/>
      <c r="AF695241" s="34"/>
    </row>
    <row r="695249" spans="31:32" x14ac:dyDescent="0.25">
      <c r="AE695249" s="36"/>
      <c r="AF695249" s="36"/>
    </row>
    <row r="695345" spans="31:32" x14ac:dyDescent="0.25">
      <c r="AE695345" s="34"/>
      <c r="AF695345" s="34"/>
    </row>
    <row r="695353" spans="31:32" x14ac:dyDescent="0.25">
      <c r="AE695353" s="36"/>
      <c r="AF695353" s="36"/>
    </row>
    <row r="695449" spans="31:32" x14ac:dyDescent="0.25">
      <c r="AE695449" s="34"/>
      <c r="AF695449" s="34"/>
    </row>
    <row r="695457" spans="31:32" x14ac:dyDescent="0.25">
      <c r="AE695457" s="36"/>
      <c r="AF695457" s="36"/>
    </row>
    <row r="695553" spans="31:32" x14ac:dyDescent="0.25">
      <c r="AE695553" s="34"/>
      <c r="AF695553" s="34"/>
    </row>
    <row r="695561" spans="31:32" x14ac:dyDescent="0.25">
      <c r="AE695561" s="36"/>
      <c r="AF695561" s="36"/>
    </row>
    <row r="695657" spans="31:32" x14ac:dyDescent="0.25">
      <c r="AE695657" s="34"/>
      <c r="AF695657" s="34"/>
    </row>
    <row r="695665" spans="31:32" x14ac:dyDescent="0.25">
      <c r="AE695665" s="36"/>
      <c r="AF695665" s="36"/>
    </row>
    <row r="695761" spans="31:32" x14ac:dyDescent="0.25">
      <c r="AE695761" s="34"/>
      <c r="AF695761" s="34"/>
    </row>
    <row r="695769" spans="31:32" x14ac:dyDescent="0.25">
      <c r="AE695769" s="36"/>
      <c r="AF695769" s="36"/>
    </row>
    <row r="695865" spans="31:32" x14ac:dyDescent="0.25">
      <c r="AE695865" s="34"/>
      <c r="AF695865" s="34"/>
    </row>
    <row r="695873" spans="31:32" x14ac:dyDescent="0.25">
      <c r="AE695873" s="36"/>
      <c r="AF695873" s="36"/>
    </row>
    <row r="695969" spans="31:32" x14ac:dyDescent="0.25">
      <c r="AE695969" s="34"/>
      <c r="AF695969" s="34"/>
    </row>
    <row r="695977" spans="31:32" x14ac:dyDescent="0.25">
      <c r="AE695977" s="36"/>
      <c r="AF695977" s="36"/>
    </row>
    <row r="696073" spans="31:32" x14ac:dyDescent="0.25">
      <c r="AE696073" s="34"/>
      <c r="AF696073" s="34"/>
    </row>
    <row r="696081" spans="31:32" x14ac:dyDescent="0.25">
      <c r="AE696081" s="36"/>
      <c r="AF696081" s="36"/>
    </row>
    <row r="696177" spans="31:32" x14ac:dyDescent="0.25">
      <c r="AE696177" s="34"/>
      <c r="AF696177" s="34"/>
    </row>
    <row r="696185" spans="31:32" x14ac:dyDescent="0.25">
      <c r="AE696185" s="36"/>
      <c r="AF696185" s="36"/>
    </row>
    <row r="696281" spans="31:32" x14ac:dyDescent="0.25">
      <c r="AE696281" s="34"/>
      <c r="AF696281" s="34"/>
    </row>
    <row r="696289" spans="31:32" x14ac:dyDescent="0.25">
      <c r="AE696289" s="36"/>
      <c r="AF696289" s="36"/>
    </row>
    <row r="696385" spans="31:32" x14ac:dyDescent="0.25">
      <c r="AE696385" s="34"/>
      <c r="AF696385" s="34"/>
    </row>
    <row r="696393" spans="31:32" x14ac:dyDescent="0.25">
      <c r="AE696393" s="36"/>
      <c r="AF696393" s="36"/>
    </row>
    <row r="696489" spans="31:32" x14ac:dyDescent="0.25">
      <c r="AE696489" s="34"/>
      <c r="AF696489" s="34"/>
    </row>
    <row r="696497" spans="31:32" x14ac:dyDescent="0.25">
      <c r="AE696497" s="36"/>
      <c r="AF696497" s="36"/>
    </row>
    <row r="696593" spans="31:32" x14ac:dyDescent="0.25">
      <c r="AE696593" s="34"/>
      <c r="AF696593" s="34"/>
    </row>
    <row r="696601" spans="31:32" x14ac:dyDescent="0.25">
      <c r="AE696601" s="36"/>
      <c r="AF696601" s="36"/>
    </row>
    <row r="696697" spans="31:32" x14ac:dyDescent="0.25">
      <c r="AE696697" s="34"/>
      <c r="AF696697" s="34"/>
    </row>
    <row r="696705" spans="31:32" x14ac:dyDescent="0.25">
      <c r="AE696705" s="36"/>
      <c r="AF696705" s="36"/>
    </row>
    <row r="696801" spans="31:32" x14ac:dyDescent="0.25">
      <c r="AE696801" s="34"/>
      <c r="AF696801" s="34"/>
    </row>
    <row r="696809" spans="31:32" x14ac:dyDescent="0.25">
      <c r="AE696809" s="36"/>
      <c r="AF696809" s="36"/>
    </row>
    <row r="696905" spans="31:32" x14ac:dyDescent="0.25">
      <c r="AE696905" s="34"/>
      <c r="AF696905" s="34"/>
    </row>
    <row r="696913" spans="31:32" x14ac:dyDescent="0.25">
      <c r="AE696913" s="36"/>
      <c r="AF696913" s="36"/>
    </row>
    <row r="697009" spans="31:32" x14ac:dyDescent="0.25">
      <c r="AE697009" s="34"/>
      <c r="AF697009" s="34"/>
    </row>
    <row r="697017" spans="31:32" x14ac:dyDescent="0.25">
      <c r="AE697017" s="36"/>
      <c r="AF697017" s="36"/>
    </row>
    <row r="697113" spans="31:32" x14ac:dyDescent="0.25">
      <c r="AE697113" s="34"/>
      <c r="AF697113" s="34"/>
    </row>
    <row r="697121" spans="31:32" x14ac:dyDescent="0.25">
      <c r="AE697121" s="36"/>
      <c r="AF697121" s="36"/>
    </row>
    <row r="697217" spans="31:32" x14ac:dyDescent="0.25">
      <c r="AE697217" s="34"/>
      <c r="AF697217" s="34"/>
    </row>
    <row r="697225" spans="31:32" x14ac:dyDescent="0.25">
      <c r="AE697225" s="36"/>
      <c r="AF697225" s="36"/>
    </row>
    <row r="697321" spans="31:32" x14ac:dyDescent="0.25">
      <c r="AE697321" s="34"/>
      <c r="AF697321" s="34"/>
    </row>
    <row r="697329" spans="31:32" x14ac:dyDescent="0.25">
      <c r="AE697329" s="36"/>
      <c r="AF697329" s="36"/>
    </row>
    <row r="697425" spans="31:32" x14ac:dyDescent="0.25">
      <c r="AE697425" s="34"/>
      <c r="AF697425" s="34"/>
    </row>
    <row r="697433" spans="31:32" x14ac:dyDescent="0.25">
      <c r="AE697433" s="36"/>
      <c r="AF697433" s="36"/>
    </row>
    <row r="697529" spans="31:32" x14ac:dyDescent="0.25">
      <c r="AE697529" s="34"/>
      <c r="AF697529" s="34"/>
    </row>
    <row r="697537" spans="31:32" x14ac:dyDescent="0.25">
      <c r="AE697537" s="36"/>
      <c r="AF697537" s="36"/>
    </row>
    <row r="697633" spans="31:32" x14ac:dyDescent="0.25">
      <c r="AE697633" s="34"/>
      <c r="AF697633" s="34"/>
    </row>
    <row r="697641" spans="31:32" x14ac:dyDescent="0.25">
      <c r="AE697641" s="36"/>
      <c r="AF697641" s="36"/>
    </row>
    <row r="697737" spans="31:32" x14ac:dyDescent="0.25">
      <c r="AE697737" s="34"/>
      <c r="AF697737" s="34"/>
    </row>
    <row r="697745" spans="31:32" x14ac:dyDescent="0.25">
      <c r="AE697745" s="36"/>
      <c r="AF697745" s="36"/>
    </row>
    <row r="697841" spans="31:32" x14ac:dyDescent="0.25">
      <c r="AE697841" s="34"/>
      <c r="AF697841" s="34"/>
    </row>
    <row r="697849" spans="31:32" x14ac:dyDescent="0.25">
      <c r="AE697849" s="36"/>
      <c r="AF697849" s="36"/>
    </row>
    <row r="697945" spans="31:32" x14ac:dyDescent="0.25">
      <c r="AE697945" s="34"/>
      <c r="AF697945" s="34"/>
    </row>
    <row r="697953" spans="31:32" x14ac:dyDescent="0.25">
      <c r="AE697953" s="36"/>
      <c r="AF697953" s="36"/>
    </row>
    <row r="698049" spans="31:32" x14ac:dyDescent="0.25">
      <c r="AE698049" s="34"/>
      <c r="AF698049" s="34"/>
    </row>
    <row r="698057" spans="31:32" x14ac:dyDescent="0.25">
      <c r="AE698057" s="36"/>
      <c r="AF698057" s="36"/>
    </row>
    <row r="698153" spans="31:32" x14ac:dyDescent="0.25">
      <c r="AE698153" s="34"/>
      <c r="AF698153" s="34"/>
    </row>
    <row r="698161" spans="31:32" x14ac:dyDescent="0.25">
      <c r="AE698161" s="36"/>
      <c r="AF698161" s="36"/>
    </row>
    <row r="698257" spans="31:32" x14ac:dyDescent="0.25">
      <c r="AE698257" s="34"/>
      <c r="AF698257" s="34"/>
    </row>
    <row r="698265" spans="31:32" x14ac:dyDescent="0.25">
      <c r="AE698265" s="36"/>
      <c r="AF698265" s="36"/>
    </row>
    <row r="698361" spans="31:32" x14ac:dyDescent="0.25">
      <c r="AE698361" s="34"/>
      <c r="AF698361" s="34"/>
    </row>
    <row r="698369" spans="31:32" x14ac:dyDescent="0.25">
      <c r="AE698369" s="36"/>
      <c r="AF698369" s="36"/>
    </row>
    <row r="698465" spans="31:32" x14ac:dyDescent="0.25">
      <c r="AE698465" s="34"/>
      <c r="AF698465" s="34"/>
    </row>
    <row r="698473" spans="31:32" x14ac:dyDescent="0.25">
      <c r="AE698473" s="36"/>
      <c r="AF698473" s="36"/>
    </row>
    <row r="698569" spans="31:32" x14ac:dyDescent="0.25">
      <c r="AE698569" s="34"/>
      <c r="AF698569" s="34"/>
    </row>
    <row r="698577" spans="31:32" x14ac:dyDescent="0.25">
      <c r="AE698577" s="36"/>
      <c r="AF698577" s="36"/>
    </row>
    <row r="698673" spans="31:32" x14ac:dyDescent="0.25">
      <c r="AE698673" s="34"/>
      <c r="AF698673" s="34"/>
    </row>
    <row r="698681" spans="31:32" x14ac:dyDescent="0.25">
      <c r="AE698681" s="36"/>
      <c r="AF698681" s="36"/>
    </row>
    <row r="698777" spans="31:32" x14ac:dyDescent="0.25">
      <c r="AE698777" s="34"/>
      <c r="AF698777" s="34"/>
    </row>
    <row r="698785" spans="31:32" x14ac:dyDescent="0.25">
      <c r="AE698785" s="36"/>
      <c r="AF698785" s="36"/>
    </row>
    <row r="698881" spans="31:32" x14ac:dyDescent="0.25">
      <c r="AE698881" s="34"/>
      <c r="AF698881" s="34"/>
    </row>
    <row r="698889" spans="31:32" x14ac:dyDescent="0.25">
      <c r="AE698889" s="36"/>
      <c r="AF698889" s="36"/>
    </row>
    <row r="698985" spans="31:32" x14ac:dyDescent="0.25">
      <c r="AE698985" s="34"/>
      <c r="AF698985" s="34"/>
    </row>
    <row r="698993" spans="31:32" x14ac:dyDescent="0.25">
      <c r="AE698993" s="36"/>
      <c r="AF698993" s="36"/>
    </row>
    <row r="699089" spans="31:32" x14ac:dyDescent="0.25">
      <c r="AE699089" s="34"/>
      <c r="AF699089" s="34"/>
    </row>
    <row r="699097" spans="31:32" x14ac:dyDescent="0.25">
      <c r="AE699097" s="36"/>
      <c r="AF699097" s="36"/>
    </row>
    <row r="699193" spans="31:32" x14ac:dyDescent="0.25">
      <c r="AE699193" s="34"/>
      <c r="AF699193" s="34"/>
    </row>
    <row r="699201" spans="31:32" x14ac:dyDescent="0.25">
      <c r="AE699201" s="36"/>
      <c r="AF699201" s="36"/>
    </row>
    <row r="699297" spans="31:32" x14ac:dyDescent="0.25">
      <c r="AE699297" s="34"/>
      <c r="AF699297" s="34"/>
    </row>
    <row r="699305" spans="31:32" x14ac:dyDescent="0.25">
      <c r="AE699305" s="36"/>
      <c r="AF699305" s="36"/>
    </row>
    <row r="699401" spans="31:32" x14ac:dyDescent="0.25">
      <c r="AE699401" s="34"/>
      <c r="AF699401" s="34"/>
    </row>
    <row r="699409" spans="31:32" x14ac:dyDescent="0.25">
      <c r="AE699409" s="36"/>
      <c r="AF699409" s="36"/>
    </row>
    <row r="699505" spans="31:32" x14ac:dyDescent="0.25">
      <c r="AE699505" s="34"/>
      <c r="AF699505" s="34"/>
    </row>
    <row r="699513" spans="31:32" x14ac:dyDescent="0.25">
      <c r="AE699513" s="36"/>
      <c r="AF699513" s="36"/>
    </row>
    <row r="699609" spans="31:32" x14ac:dyDescent="0.25">
      <c r="AE699609" s="34"/>
      <c r="AF699609" s="34"/>
    </row>
    <row r="699617" spans="31:32" x14ac:dyDescent="0.25">
      <c r="AE699617" s="36"/>
      <c r="AF699617" s="36"/>
    </row>
    <row r="699713" spans="31:32" x14ac:dyDescent="0.25">
      <c r="AE699713" s="34"/>
      <c r="AF699713" s="34"/>
    </row>
    <row r="699721" spans="31:32" x14ac:dyDescent="0.25">
      <c r="AE699721" s="36"/>
      <c r="AF699721" s="36"/>
    </row>
    <row r="699817" spans="31:32" x14ac:dyDescent="0.25">
      <c r="AE699817" s="34"/>
      <c r="AF699817" s="34"/>
    </row>
    <row r="699825" spans="31:32" x14ac:dyDescent="0.25">
      <c r="AE699825" s="36"/>
      <c r="AF699825" s="36"/>
    </row>
    <row r="699921" spans="31:32" x14ac:dyDescent="0.25">
      <c r="AE699921" s="34"/>
      <c r="AF699921" s="34"/>
    </row>
    <row r="699929" spans="31:32" x14ac:dyDescent="0.25">
      <c r="AE699929" s="36"/>
      <c r="AF699929" s="36"/>
    </row>
    <row r="700025" spans="31:32" x14ac:dyDescent="0.25">
      <c r="AE700025" s="34"/>
      <c r="AF700025" s="34"/>
    </row>
    <row r="700033" spans="31:32" x14ac:dyDescent="0.25">
      <c r="AE700033" s="36"/>
      <c r="AF700033" s="36"/>
    </row>
    <row r="700129" spans="31:32" x14ac:dyDescent="0.25">
      <c r="AE700129" s="34"/>
      <c r="AF700129" s="34"/>
    </row>
    <row r="700137" spans="31:32" x14ac:dyDescent="0.25">
      <c r="AE700137" s="36"/>
      <c r="AF700137" s="36"/>
    </row>
    <row r="700233" spans="31:32" x14ac:dyDescent="0.25">
      <c r="AE700233" s="34"/>
      <c r="AF700233" s="34"/>
    </row>
    <row r="700241" spans="31:32" x14ac:dyDescent="0.25">
      <c r="AE700241" s="36"/>
      <c r="AF700241" s="36"/>
    </row>
    <row r="700337" spans="31:32" x14ac:dyDescent="0.25">
      <c r="AE700337" s="34"/>
      <c r="AF700337" s="34"/>
    </row>
    <row r="700345" spans="31:32" x14ac:dyDescent="0.25">
      <c r="AE700345" s="36"/>
      <c r="AF700345" s="36"/>
    </row>
    <row r="700441" spans="31:32" x14ac:dyDescent="0.25">
      <c r="AE700441" s="34"/>
      <c r="AF700441" s="34"/>
    </row>
    <row r="700449" spans="31:32" x14ac:dyDescent="0.25">
      <c r="AE700449" s="36"/>
      <c r="AF700449" s="36"/>
    </row>
    <row r="700545" spans="31:32" x14ac:dyDescent="0.25">
      <c r="AE700545" s="34"/>
      <c r="AF700545" s="34"/>
    </row>
    <row r="700553" spans="31:32" x14ac:dyDescent="0.25">
      <c r="AE700553" s="36"/>
      <c r="AF700553" s="36"/>
    </row>
    <row r="700649" spans="31:32" x14ac:dyDescent="0.25">
      <c r="AE700649" s="34"/>
      <c r="AF700649" s="34"/>
    </row>
    <row r="700657" spans="31:32" x14ac:dyDescent="0.25">
      <c r="AE700657" s="36"/>
      <c r="AF700657" s="36"/>
    </row>
    <row r="700753" spans="31:32" x14ac:dyDescent="0.25">
      <c r="AE700753" s="34"/>
      <c r="AF700753" s="34"/>
    </row>
    <row r="700761" spans="31:32" x14ac:dyDescent="0.25">
      <c r="AE700761" s="36"/>
      <c r="AF700761" s="36"/>
    </row>
    <row r="700857" spans="31:32" x14ac:dyDescent="0.25">
      <c r="AE700857" s="34"/>
      <c r="AF700857" s="34"/>
    </row>
    <row r="700865" spans="31:32" x14ac:dyDescent="0.25">
      <c r="AE700865" s="36"/>
      <c r="AF700865" s="36"/>
    </row>
    <row r="700961" spans="31:32" x14ac:dyDescent="0.25">
      <c r="AE700961" s="34"/>
      <c r="AF700961" s="34"/>
    </row>
    <row r="700969" spans="31:32" x14ac:dyDescent="0.25">
      <c r="AE700969" s="36"/>
      <c r="AF700969" s="36"/>
    </row>
    <row r="701065" spans="31:32" x14ac:dyDescent="0.25">
      <c r="AE701065" s="34"/>
      <c r="AF701065" s="34"/>
    </row>
    <row r="701073" spans="31:32" x14ac:dyDescent="0.25">
      <c r="AE701073" s="36"/>
      <c r="AF701073" s="36"/>
    </row>
    <row r="701169" spans="31:32" x14ac:dyDescent="0.25">
      <c r="AE701169" s="34"/>
      <c r="AF701169" s="34"/>
    </row>
    <row r="701177" spans="31:32" x14ac:dyDescent="0.25">
      <c r="AE701177" s="36"/>
      <c r="AF701177" s="36"/>
    </row>
    <row r="701273" spans="31:32" x14ac:dyDescent="0.25">
      <c r="AE701273" s="34"/>
      <c r="AF701273" s="34"/>
    </row>
    <row r="701281" spans="31:32" x14ac:dyDescent="0.25">
      <c r="AE701281" s="36"/>
      <c r="AF701281" s="36"/>
    </row>
    <row r="701377" spans="31:32" x14ac:dyDescent="0.25">
      <c r="AE701377" s="34"/>
      <c r="AF701377" s="34"/>
    </row>
    <row r="701385" spans="31:32" x14ac:dyDescent="0.25">
      <c r="AE701385" s="36"/>
      <c r="AF701385" s="36"/>
    </row>
    <row r="701481" spans="31:32" x14ac:dyDescent="0.25">
      <c r="AE701481" s="34"/>
      <c r="AF701481" s="34"/>
    </row>
    <row r="701489" spans="31:32" x14ac:dyDescent="0.25">
      <c r="AE701489" s="36"/>
      <c r="AF701489" s="36"/>
    </row>
    <row r="701585" spans="31:32" x14ac:dyDescent="0.25">
      <c r="AE701585" s="34"/>
      <c r="AF701585" s="34"/>
    </row>
    <row r="701593" spans="31:32" x14ac:dyDescent="0.25">
      <c r="AE701593" s="36"/>
      <c r="AF701593" s="36"/>
    </row>
    <row r="701689" spans="31:32" x14ac:dyDescent="0.25">
      <c r="AE701689" s="34"/>
      <c r="AF701689" s="34"/>
    </row>
    <row r="701697" spans="31:32" x14ac:dyDescent="0.25">
      <c r="AE701697" s="36"/>
      <c r="AF701697" s="36"/>
    </row>
    <row r="701793" spans="31:32" x14ac:dyDescent="0.25">
      <c r="AE701793" s="34"/>
      <c r="AF701793" s="34"/>
    </row>
    <row r="701801" spans="31:32" x14ac:dyDescent="0.25">
      <c r="AE701801" s="36"/>
      <c r="AF701801" s="36"/>
    </row>
    <row r="701897" spans="31:32" x14ac:dyDescent="0.25">
      <c r="AE701897" s="34"/>
      <c r="AF701897" s="34"/>
    </row>
    <row r="701905" spans="31:32" x14ac:dyDescent="0.25">
      <c r="AE701905" s="36"/>
      <c r="AF701905" s="36"/>
    </row>
    <row r="702001" spans="31:32" x14ac:dyDescent="0.25">
      <c r="AE702001" s="34"/>
      <c r="AF702001" s="34"/>
    </row>
    <row r="702009" spans="31:32" x14ac:dyDescent="0.25">
      <c r="AE702009" s="36"/>
      <c r="AF702009" s="36"/>
    </row>
    <row r="702105" spans="31:32" x14ac:dyDescent="0.25">
      <c r="AE702105" s="34"/>
      <c r="AF702105" s="34"/>
    </row>
    <row r="702113" spans="31:32" x14ac:dyDescent="0.25">
      <c r="AE702113" s="36"/>
      <c r="AF702113" s="36"/>
    </row>
    <row r="702209" spans="31:32" x14ac:dyDescent="0.25">
      <c r="AE702209" s="34"/>
      <c r="AF702209" s="34"/>
    </row>
    <row r="702217" spans="31:32" x14ac:dyDescent="0.25">
      <c r="AE702217" s="36"/>
      <c r="AF702217" s="36"/>
    </row>
    <row r="702313" spans="31:32" x14ac:dyDescent="0.25">
      <c r="AE702313" s="34"/>
      <c r="AF702313" s="34"/>
    </row>
    <row r="702321" spans="31:32" x14ac:dyDescent="0.25">
      <c r="AE702321" s="36"/>
      <c r="AF702321" s="36"/>
    </row>
    <row r="702417" spans="31:32" x14ac:dyDescent="0.25">
      <c r="AE702417" s="34"/>
      <c r="AF702417" s="34"/>
    </row>
    <row r="702425" spans="31:32" x14ac:dyDescent="0.25">
      <c r="AE702425" s="36"/>
      <c r="AF702425" s="36"/>
    </row>
    <row r="702521" spans="31:32" x14ac:dyDescent="0.25">
      <c r="AE702521" s="34"/>
      <c r="AF702521" s="34"/>
    </row>
    <row r="702529" spans="31:32" x14ac:dyDescent="0.25">
      <c r="AE702529" s="36"/>
      <c r="AF702529" s="36"/>
    </row>
    <row r="702625" spans="31:32" x14ac:dyDescent="0.25">
      <c r="AE702625" s="34"/>
      <c r="AF702625" s="34"/>
    </row>
    <row r="702633" spans="31:32" x14ac:dyDescent="0.25">
      <c r="AE702633" s="36"/>
      <c r="AF702633" s="36"/>
    </row>
    <row r="702729" spans="31:32" x14ac:dyDescent="0.25">
      <c r="AE702729" s="34"/>
      <c r="AF702729" s="34"/>
    </row>
    <row r="702737" spans="31:32" x14ac:dyDescent="0.25">
      <c r="AE702737" s="36"/>
      <c r="AF702737" s="36"/>
    </row>
    <row r="702833" spans="31:32" x14ac:dyDescent="0.25">
      <c r="AE702833" s="34"/>
      <c r="AF702833" s="34"/>
    </row>
    <row r="702841" spans="31:32" x14ac:dyDescent="0.25">
      <c r="AE702841" s="36"/>
      <c r="AF702841" s="36"/>
    </row>
    <row r="702937" spans="31:32" x14ac:dyDescent="0.25">
      <c r="AE702937" s="34"/>
      <c r="AF702937" s="34"/>
    </row>
    <row r="702945" spans="31:32" x14ac:dyDescent="0.25">
      <c r="AE702945" s="36"/>
      <c r="AF702945" s="36"/>
    </row>
    <row r="703041" spans="31:32" x14ac:dyDescent="0.25">
      <c r="AE703041" s="34"/>
      <c r="AF703041" s="34"/>
    </row>
    <row r="703049" spans="31:32" x14ac:dyDescent="0.25">
      <c r="AE703049" s="36"/>
      <c r="AF703049" s="36"/>
    </row>
    <row r="703145" spans="31:32" x14ac:dyDescent="0.25">
      <c r="AE703145" s="34"/>
      <c r="AF703145" s="34"/>
    </row>
    <row r="703153" spans="31:32" x14ac:dyDescent="0.25">
      <c r="AE703153" s="36"/>
      <c r="AF703153" s="36"/>
    </row>
    <row r="703249" spans="31:32" x14ac:dyDescent="0.25">
      <c r="AE703249" s="34"/>
      <c r="AF703249" s="34"/>
    </row>
    <row r="703257" spans="31:32" x14ac:dyDescent="0.25">
      <c r="AE703257" s="36"/>
      <c r="AF703257" s="36"/>
    </row>
    <row r="703353" spans="31:32" x14ac:dyDescent="0.25">
      <c r="AE703353" s="34"/>
      <c r="AF703353" s="34"/>
    </row>
    <row r="703361" spans="31:32" x14ac:dyDescent="0.25">
      <c r="AE703361" s="36"/>
      <c r="AF703361" s="36"/>
    </row>
    <row r="703457" spans="31:32" x14ac:dyDescent="0.25">
      <c r="AE703457" s="34"/>
      <c r="AF703457" s="34"/>
    </row>
    <row r="703465" spans="31:32" x14ac:dyDescent="0.25">
      <c r="AE703465" s="36"/>
      <c r="AF703465" s="36"/>
    </row>
    <row r="703561" spans="31:32" x14ac:dyDescent="0.25">
      <c r="AE703561" s="34"/>
      <c r="AF703561" s="34"/>
    </row>
    <row r="703569" spans="31:32" x14ac:dyDescent="0.25">
      <c r="AE703569" s="36"/>
      <c r="AF703569" s="36"/>
    </row>
    <row r="703665" spans="31:32" x14ac:dyDescent="0.25">
      <c r="AE703665" s="34"/>
      <c r="AF703665" s="34"/>
    </row>
    <row r="703673" spans="31:32" x14ac:dyDescent="0.25">
      <c r="AE703673" s="36"/>
      <c r="AF703673" s="36"/>
    </row>
    <row r="703769" spans="31:32" x14ac:dyDescent="0.25">
      <c r="AE703769" s="34"/>
      <c r="AF703769" s="34"/>
    </row>
    <row r="703777" spans="31:32" x14ac:dyDescent="0.25">
      <c r="AE703777" s="36"/>
      <c r="AF703777" s="36"/>
    </row>
    <row r="703873" spans="31:32" x14ac:dyDescent="0.25">
      <c r="AE703873" s="34"/>
      <c r="AF703873" s="34"/>
    </row>
    <row r="703881" spans="31:32" x14ac:dyDescent="0.25">
      <c r="AE703881" s="36"/>
      <c r="AF703881" s="36"/>
    </row>
    <row r="703977" spans="31:32" x14ac:dyDescent="0.25">
      <c r="AE703977" s="34"/>
      <c r="AF703977" s="34"/>
    </row>
    <row r="703985" spans="31:32" x14ac:dyDescent="0.25">
      <c r="AE703985" s="36"/>
      <c r="AF703985" s="36"/>
    </row>
    <row r="704081" spans="31:32" x14ac:dyDescent="0.25">
      <c r="AE704081" s="34"/>
      <c r="AF704081" s="34"/>
    </row>
    <row r="704089" spans="31:32" x14ac:dyDescent="0.25">
      <c r="AE704089" s="36"/>
      <c r="AF704089" s="36"/>
    </row>
    <row r="704185" spans="31:32" x14ac:dyDescent="0.25">
      <c r="AE704185" s="34"/>
      <c r="AF704185" s="34"/>
    </row>
    <row r="704193" spans="31:32" x14ac:dyDescent="0.25">
      <c r="AE704193" s="36"/>
      <c r="AF704193" s="36"/>
    </row>
    <row r="704289" spans="31:32" x14ac:dyDescent="0.25">
      <c r="AE704289" s="34"/>
      <c r="AF704289" s="34"/>
    </row>
    <row r="704297" spans="31:32" x14ac:dyDescent="0.25">
      <c r="AE704297" s="36"/>
      <c r="AF704297" s="36"/>
    </row>
    <row r="704393" spans="31:32" x14ac:dyDescent="0.25">
      <c r="AE704393" s="34"/>
      <c r="AF704393" s="34"/>
    </row>
    <row r="704401" spans="31:32" x14ac:dyDescent="0.25">
      <c r="AE704401" s="36"/>
      <c r="AF704401" s="36"/>
    </row>
    <row r="704497" spans="31:32" x14ac:dyDescent="0.25">
      <c r="AE704497" s="34"/>
      <c r="AF704497" s="34"/>
    </row>
    <row r="704505" spans="31:32" x14ac:dyDescent="0.25">
      <c r="AE704505" s="36"/>
      <c r="AF704505" s="36"/>
    </row>
    <row r="704601" spans="31:32" x14ac:dyDescent="0.25">
      <c r="AE704601" s="34"/>
      <c r="AF704601" s="34"/>
    </row>
    <row r="704609" spans="31:32" x14ac:dyDescent="0.25">
      <c r="AE704609" s="36"/>
      <c r="AF704609" s="36"/>
    </row>
    <row r="704705" spans="31:32" x14ac:dyDescent="0.25">
      <c r="AE704705" s="34"/>
      <c r="AF704705" s="34"/>
    </row>
    <row r="704713" spans="31:32" x14ac:dyDescent="0.25">
      <c r="AE704713" s="36"/>
      <c r="AF704713" s="36"/>
    </row>
    <row r="704809" spans="31:32" x14ac:dyDescent="0.25">
      <c r="AE704809" s="34"/>
      <c r="AF704809" s="34"/>
    </row>
    <row r="704817" spans="31:32" x14ac:dyDescent="0.25">
      <c r="AE704817" s="36"/>
      <c r="AF704817" s="36"/>
    </row>
    <row r="704913" spans="31:32" x14ac:dyDescent="0.25">
      <c r="AE704913" s="34"/>
      <c r="AF704913" s="34"/>
    </row>
    <row r="704921" spans="31:32" x14ac:dyDescent="0.25">
      <c r="AE704921" s="36"/>
      <c r="AF704921" s="36"/>
    </row>
    <row r="705017" spans="31:32" x14ac:dyDescent="0.25">
      <c r="AE705017" s="34"/>
      <c r="AF705017" s="34"/>
    </row>
    <row r="705025" spans="31:32" x14ac:dyDescent="0.25">
      <c r="AE705025" s="36"/>
      <c r="AF705025" s="36"/>
    </row>
    <row r="705121" spans="31:32" x14ac:dyDescent="0.25">
      <c r="AE705121" s="34"/>
      <c r="AF705121" s="34"/>
    </row>
    <row r="705129" spans="31:32" x14ac:dyDescent="0.25">
      <c r="AE705129" s="36"/>
      <c r="AF705129" s="36"/>
    </row>
    <row r="705225" spans="31:32" x14ac:dyDescent="0.25">
      <c r="AE705225" s="34"/>
      <c r="AF705225" s="34"/>
    </row>
    <row r="705233" spans="31:32" x14ac:dyDescent="0.25">
      <c r="AE705233" s="36"/>
      <c r="AF705233" s="36"/>
    </row>
    <row r="705329" spans="31:32" x14ac:dyDescent="0.25">
      <c r="AE705329" s="34"/>
      <c r="AF705329" s="34"/>
    </row>
    <row r="705337" spans="31:32" x14ac:dyDescent="0.25">
      <c r="AE705337" s="36"/>
      <c r="AF705337" s="36"/>
    </row>
    <row r="705433" spans="31:32" x14ac:dyDescent="0.25">
      <c r="AE705433" s="34"/>
      <c r="AF705433" s="34"/>
    </row>
    <row r="705441" spans="31:32" x14ac:dyDescent="0.25">
      <c r="AE705441" s="36"/>
      <c r="AF705441" s="36"/>
    </row>
    <row r="705537" spans="31:32" x14ac:dyDescent="0.25">
      <c r="AE705537" s="34"/>
      <c r="AF705537" s="34"/>
    </row>
    <row r="705545" spans="31:32" x14ac:dyDescent="0.25">
      <c r="AE705545" s="36"/>
      <c r="AF705545" s="36"/>
    </row>
    <row r="705641" spans="31:32" x14ac:dyDescent="0.25">
      <c r="AE705641" s="34"/>
      <c r="AF705641" s="34"/>
    </row>
    <row r="705649" spans="31:32" x14ac:dyDescent="0.25">
      <c r="AE705649" s="36"/>
      <c r="AF705649" s="36"/>
    </row>
    <row r="705745" spans="31:32" x14ac:dyDescent="0.25">
      <c r="AE705745" s="34"/>
      <c r="AF705745" s="34"/>
    </row>
    <row r="705753" spans="31:32" x14ac:dyDescent="0.25">
      <c r="AE705753" s="36"/>
      <c r="AF705753" s="36"/>
    </row>
    <row r="705849" spans="31:32" x14ac:dyDescent="0.25">
      <c r="AE705849" s="34"/>
      <c r="AF705849" s="34"/>
    </row>
    <row r="705857" spans="31:32" x14ac:dyDescent="0.25">
      <c r="AE705857" s="36"/>
      <c r="AF705857" s="36"/>
    </row>
    <row r="705953" spans="31:32" x14ac:dyDescent="0.25">
      <c r="AE705953" s="34"/>
      <c r="AF705953" s="34"/>
    </row>
    <row r="705961" spans="31:32" x14ac:dyDescent="0.25">
      <c r="AE705961" s="36"/>
      <c r="AF705961" s="36"/>
    </row>
    <row r="706057" spans="31:32" x14ac:dyDescent="0.25">
      <c r="AE706057" s="34"/>
      <c r="AF706057" s="34"/>
    </row>
    <row r="706065" spans="31:32" x14ac:dyDescent="0.25">
      <c r="AE706065" s="36"/>
      <c r="AF706065" s="36"/>
    </row>
    <row r="706161" spans="31:32" x14ac:dyDescent="0.25">
      <c r="AE706161" s="34"/>
      <c r="AF706161" s="34"/>
    </row>
    <row r="706169" spans="31:32" x14ac:dyDescent="0.25">
      <c r="AE706169" s="36"/>
      <c r="AF706169" s="36"/>
    </row>
    <row r="706265" spans="31:32" x14ac:dyDescent="0.25">
      <c r="AE706265" s="34"/>
      <c r="AF706265" s="34"/>
    </row>
    <row r="706273" spans="31:32" x14ac:dyDescent="0.25">
      <c r="AE706273" s="36"/>
      <c r="AF706273" s="36"/>
    </row>
    <row r="706369" spans="31:32" x14ac:dyDescent="0.25">
      <c r="AE706369" s="34"/>
      <c r="AF706369" s="34"/>
    </row>
    <row r="706377" spans="31:32" x14ac:dyDescent="0.25">
      <c r="AE706377" s="36"/>
      <c r="AF706377" s="36"/>
    </row>
    <row r="706473" spans="31:32" x14ac:dyDescent="0.25">
      <c r="AE706473" s="34"/>
      <c r="AF706473" s="34"/>
    </row>
    <row r="706481" spans="31:32" x14ac:dyDescent="0.25">
      <c r="AE706481" s="36"/>
      <c r="AF706481" s="36"/>
    </row>
    <row r="706577" spans="31:32" x14ac:dyDescent="0.25">
      <c r="AE706577" s="34"/>
      <c r="AF706577" s="34"/>
    </row>
    <row r="706585" spans="31:32" x14ac:dyDescent="0.25">
      <c r="AE706585" s="36"/>
      <c r="AF706585" s="36"/>
    </row>
    <row r="706681" spans="31:32" x14ac:dyDescent="0.25">
      <c r="AE706681" s="34"/>
      <c r="AF706681" s="34"/>
    </row>
    <row r="706689" spans="31:32" x14ac:dyDescent="0.25">
      <c r="AE706689" s="36"/>
      <c r="AF706689" s="36"/>
    </row>
    <row r="706785" spans="31:32" x14ac:dyDescent="0.25">
      <c r="AE706785" s="34"/>
      <c r="AF706785" s="34"/>
    </row>
    <row r="706793" spans="31:32" x14ac:dyDescent="0.25">
      <c r="AE706793" s="36"/>
      <c r="AF706793" s="36"/>
    </row>
    <row r="706889" spans="31:32" x14ac:dyDescent="0.25">
      <c r="AE706889" s="34"/>
      <c r="AF706889" s="34"/>
    </row>
    <row r="706897" spans="31:32" x14ac:dyDescent="0.25">
      <c r="AE706897" s="36"/>
      <c r="AF706897" s="36"/>
    </row>
    <row r="706993" spans="31:32" x14ac:dyDescent="0.25">
      <c r="AE706993" s="34"/>
      <c r="AF706993" s="34"/>
    </row>
    <row r="707001" spans="31:32" x14ac:dyDescent="0.25">
      <c r="AE707001" s="36"/>
      <c r="AF707001" s="36"/>
    </row>
    <row r="707097" spans="31:32" x14ac:dyDescent="0.25">
      <c r="AE707097" s="34"/>
      <c r="AF707097" s="34"/>
    </row>
    <row r="707105" spans="31:32" x14ac:dyDescent="0.25">
      <c r="AE707105" s="36"/>
      <c r="AF707105" s="36"/>
    </row>
    <row r="707201" spans="31:32" x14ac:dyDescent="0.25">
      <c r="AE707201" s="34"/>
      <c r="AF707201" s="34"/>
    </row>
    <row r="707209" spans="31:32" x14ac:dyDescent="0.25">
      <c r="AE707209" s="36"/>
      <c r="AF707209" s="36"/>
    </row>
    <row r="707305" spans="31:32" x14ac:dyDescent="0.25">
      <c r="AE707305" s="34"/>
      <c r="AF707305" s="34"/>
    </row>
    <row r="707313" spans="31:32" x14ac:dyDescent="0.25">
      <c r="AE707313" s="36"/>
      <c r="AF707313" s="36"/>
    </row>
    <row r="707409" spans="31:32" x14ac:dyDescent="0.25">
      <c r="AE707409" s="34"/>
      <c r="AF707409" s="34"/>
    </row>
    <row r="707417" spans="31:32" x14ac:dyDescent="0.25">
      <c r="AE707417" s="36"/>
      <c r="AF707417" s="36"/>
    </row>
    <row r="707513" spans="31:32" x14ac:dyDescent="0.25">
      <c r="AE707513" s="34"/>
      <c r="AF707513" s="34"/>
    </row>
    <row r="707521" spans="31:32" x14ac:dyDescent="0.25">
      <c r="AE707521" s="36"/>
      <c r="AF707521" s="36"/>
    </row>
    <row r="707617" spans="31:32" x14ac:dyDescent="0.25">
      <c r="AE707617" s="34"/>
      <c r="AF707617" s="34"/>
    </row>
    <row r="707625" spans="31:32" x14ac:dyDescent="0.25">
      <c r="AE707625" s="36"/>
      <c r="AF707625" s="36"/>
    </row>
    <row r="707721" spans="31:32" x14ac:dyDescent="0.25">
      <c r="AE707721" s="34"/>
      <c r="AF707721" s="34"/>
    </row>
    <row r="707729" spans="31:32" x14ac:dyDescent="0.25">
      <c r="AE707729" s="36"/>
      <c r="AF707729" s="36"/>
    </row>
    <row r="707825" spans="31:32" x14ac:dyDescent="0.25">
      <c r="AE707825" s="34"/>
      <c r="AF707825" s="34"/>
    </row>
    <row r="707833" spans="31:32" x14ac:dyDescent="0.25">
      <c r="AE707833" s="36"/>
      <c r="AF707833" s="36"/>
    </row>
    <row r="707929" spans="31:32" x14ac:dyDescent="0.25">
      <c r="AE707929" s="34"/>
      <c r="AF707929" s="34"/>
    </row>
    <row r="707937" spans="31:32" x14ac:dyDescent="0.25">
      <c r="AE707937" s="36"/>
      <c r="AF707937" s="36"/>
    </row>
    <row r="708033" spans="31:32" x14ac:dyDescent="0.25">
      <c r="AE708033" s="34"/>
      <c r="AF708033" s="34"/>
    </row>
    <row r="708041" spans="31:32" x14ac:dyDescent="0.25">
      <c r="AE708041" s="36"/>
      <c r="AF708041" s="36"/>
    </row>
    <row r="708137" spans="31:32" x14ac:dyDescent="0.25">
      <c r="AE708137" s="34"/>
      <c r="AF708137" s="34"/>
    </row>
    <row r="708145" spans="31:32" x14ac:dyDescent="0.25">
      <c r="AE708145" s="36"/>
      <c r="AF708145" s="36"/>
    </row>
    <row r="708241" spans="31:32" x14ac:dyDescent="0.25">
      <c r="AE708241" s="34"/>
      <c r="AF708241" s="34"/>
    </row>
    <row r="708249" spans="31:32" x14ac:dyDescent="0.25">
      <c r="AE708249" s="36"/>
      <c r="AF708249" s="36"/>
    </row>
    <row r="708345" spans="31:32" x14ac:dyDescent="0.25">
      <c r="AE708345" s="34"/>
      <c r="AF708345" s="34"/>
    </row>
    <row r="708353" spans="31:32" x14ac:dyDescent="0.25">
      <c r="AE708353" s="36"/>
      <c r="AF708353" s="36"/>
    </row>
    <row r="708449" spans="31:32" x14ac:dyDescent="0.25">
      <c r="AE708449" s="34"/>
      <c r="AF708449" s="34"/>
    </row>
    <row r="708457" spans="31:32" x14ac:dyDescent="0.25">
      <c r="AE708457" s="36"/>
      <c r="AF708457" s="36"/>
    </row>
    <row r="708553" spans="31:32" x14ac:dyDescent="0.25">
      <c r="AE708553" s="34"/>
      <c r="AF708553" s="34"/>
    </row>
    <row r="708561" spans="31:32" x14ac:dyDescent="0.25">
      <c r="AE708561" s="36"/>
      <c r="AF708561" s="36"/>
    </row>
    <row r="708657" spans="31:32" x14ac:dyDescent="0.25">
      <c r="AE708657" s="34"/>
      <c r="AF708657" s="34"/>
    </row>
    <row r="708665" spans="31:32" x14ac:dyDescent="0.25">
      <c r="AE708665" s="36"/>
      <c r="AF708665" s="36"/>
    </row>
    <row r="708761" spans="31:32" x14ac:dyDescent="0.25">
      <c r="AE708761" s="34"/>
      <c r="AF708761" s="34"/>
    </row>
    <row r="708769" spans="31:32" x14ac:dyDescent="0.25">
      <c r="AE708769" s="36"/>
      <c r="AF708769" s="36"/>
    </row>
    <row r="708865" spans="31:32" x14ac:dyDescent="0.25">
      <c r="AE708865" s="34"/>
      <c r="AF708865" s="34"/>
    </row>
    <row r="708873" spans="31:32" x14ac:dyDescent="0.25">
      <c r="AE708873" s="36"/>
      <c r="AF708873" s="36"/>
    </row>
    <row r="708969" spans="31:32" x14ac:dyDescent="0.25">
      <c r="AE708969" s="34"/>
      <c r="AF708969" s="34"/>
    </row>
    <row r="708977" spans="31:32" x14ac:dyDescent="0.25">
      <c r="AE708977" s="36"/>
      <c r="AF708977" s="36"/>
    </row>
    <row r="709073" spans="31:32" x14ac:dyDescent="0.25">
      <c r="AE709073" s="34"/>
      <c r="AF709073" s="34"/>
    </row>
    <row r="709081" spans="31:32" x14ac:dyDescent="0.25">
      <c r="AE709081" s="36"/>
      <c r="AF709081" s="36"/>
    </row>
    <row r="709177" spans="31:32" x14ac:dyDescent="0.25">
      <c r="AE709177" s="34"/>
      <c r="AF709177" s="34"/>
    </row>
    <row r="709185" spans="31:32" x14ac:dyDescent="0.25">
      <c r="AE709185" s="36"/>
      <c r="AF709185" s="36"/>
    </row>
    <row r="709281" spans="31:32" x14ac:dyDescent="0.25">
      <c r="AE709281" s="34"/>
      <c r="AF709281" s="34"/>
    </row>
    <row r="709289" spans="31:32" x14ac:dyDescent="0.25">
      <c r="AE709289" s="36"/>
      <c r="AF709289" s="36"/>
    </row>
    <row r="709385" spans="31:32" x14ac:dyDescent="0.25">
      <c r="AE709385" s="34"/>
      <c r="AF709385" s="34"/>
    </row>
    <row r="709393" spans="31:32" x14ac:dyDescent="0.25">
      <c r="AE709393" s="36"/>
      <c r="AF709393" s="36"/>
    </row>
    <row r="709489" spans="31:32" x14ac:dyDescent="0.25">
      <c r="AE709489" s="34"/>
      <c r="AF709489" s="34"/>
    </row>
    <row r="709497" spans="31:32" x14ac:dyDescent="0.25">
      <c r="AE709497" s="36"/>
      <c r="AF709497" s="36"/>
    </row>
    <row r="709593" spans="31:32" x14ac:dyDescent="0.25">
      <c r="AE709593" s="34"/>
      <c r="AF709593" s="34"/>
    </row>
    <row r="709601" spans="31:32" x14ac:dyDescent="0.25">
      <c r="AE709601" s="36"/>
      <c r="AF709601" s="36"/>
    </row>
    <row r="709697" spans="31:32" x14ac:dyDescent="0.25">
      <c r="AE709697" s="34"/>
      <c r="AF709697" s="34"/>
    </row>
    <row r="709705" spans="31:32" x14ac:dyDescent="0.25">
      <c r="AE709705" s="36"/>
      <c r="AF709705" s="36"/>
    </row>
    <row r="709801" spans="31:32" x14ac:dyDescent="0.25">
      <c r="AE709801" s="34"/>
      <c r="AF709801" s="34"/>
    </row>
    <row r="709809" spans="31:32" x14ac:dyDescent="0.25">
      <c r="AE709809" s="36"/>
      <c r="AF709809" s="36"/>
    </row>
    <row r="709905" spans="31:32" x14ac:dyDescent="0.25">
      <c r="AE709905" s="34"/>
      <c r="AF709905" s="34"/>
    </row>
    <row r="709913" spans="31:32" x14ac:dyDescent="0.25">
      <c r="AE709913" s="36"/>
      <c r="AF709913" s="36"/>
    </row>
    <row r="710009" spans="31:32" x14ac:dyDescent="0.25">
      <c r="AE710009" s="34"/>
      <c r="AF710009" s="34"/>
    </row>
    <row r="710017" spans="31:32" x14ac:dyDescent="0.25">
      <c r="AE710017" s="36"/>
      <c r="AF710017" s="36"/>
    </row>
    <row r="710113" spans="31:32" x14ac:dyDescent="0.25">
      <c r="AE710113" s="34"/>
      <c r="AF710113" s="34"/>
    </row>
    <row r="710121" spans="31:32" x14ac:dyDescent="0.25">
      <c r="AE710121" s="36"/>
      <c r="AF710121" s="36"/>
    </row>
    <row r="710217" spans="31:32" x14ac:dyDescent="0.25">
      <c r="AE710217" s="34"/>
      <c r="AF710217" s="34"/>
    </row>
    <row r="710225" spans="31:32" x14ac:dyDescent="0.25">
      <c r="AE710225" s="36"/>
      <c r="AF710225" s="36"/>
    </row>
    <row r="710321" spans="31:32" x14ac:dyDescent="0.25">
      <c r="AE710321" s="34"/>
      <c r="AF710321" s="34"/>
    </row>
    <row r="710329" spans="31:32" x14ac:dyDescent="0.25">
      <c r="AE710329" s="36"/>
      <c r="AF710329" s="36"/>
    </row>
    <row r="710425" spans="31:32" x14ac:dyDescent="0.25">
      <c r="AE710425" s="34"/>
      <c r="AF710425" s="34"/>
    </row>
    <row r="710433" spans="31:32" x14ac:dyDescent="0.25">
      <c r="AE710433" s="36"/>
      <c r="AF710433" s="36"/>
    </row>
    <row r="710529" spans="31:32" x14ac:dyDescent="0.25">
      <c r="AE710529" s="34"/>
      <c r="AF710529" s="34"/>
    </row>
    <row r="710537" spans="31:32" x14ac:dyDescent="0.25">
      <c r="AE710537" s="36"/>
      <c r="AF710537" s="36"/>
    </row>
    <row r="710633" spans="31:32" x14ac:dyDescent="0.25">
      <c r="AE710633" s="34"/>
      <c r="AF710633" s="34"/>
    </row>
    <row r="710641" spans="31:32" x14ac:dyDescent="0.25">
      <c r="AE710641" s="36"/>
      <c r="AF710641" s="36"/>
    </row>
    <row r="710737" spans="31:32" x14ac:dyDescent="0.25">
      <c r="AE710737" s="34"/>
      <c r="AF710737" s="34"/>
    </row>
    <row r="710745" spans="31:32" x14ac:dyDescent="0.25">
      <c r="AE710745" s="36"/>
      <c r="AF710745" s="36"/>
    </row>
    <row r="710841" spans="31:32" x14ac:dyDescent="0.25">
      <c r="AE710841" s="34"/>
      <c r="AF710841" s="34"/>
    </row>
    <row r="710849" spans="31:32" x14ac:dyDescent="0.25">
      <c r="AE710849" s="36"/>
      <c r="AF710849" s="36"/>
    </row>
    <row r="710945" spans="31:32" x14ac:dyDescent="0.25">
      <c r="AE710945" s="34"/>
      <c r="AF710945" s="34"/>
    </row>
    <row r="710953" spans="31:32" x14ac:dyDescent="0.25">
      <c r="AE710953" s="36"/>
      <c r="AF710953" s="36"/>
    </row>
    <row r="711049" spans="31:32" x14ac:dyDescent="0.25">
      <c r="AE711049" s="34"/>
      <c r="AF711049" s="34"/>
    </row>
    <row r="711057" spans="31:32" x14ac:dyDescent="0.25">
      <c r="AE711057" s="36"/>
      <c r="AF711057" s="36"/>
    </row>
    <row r="711153" spans="31:32" x14ac:dyDescent="0.25">
      <c r="AE711153" s="34"/>
      <c r="AF711153" s="34"/>
    </row>
    <row r="711161" spans="31:32" x14ac:dyDescent="0.25">
      <c r="AE711161" s="36"/>
      <c r="AF711161" s="36"/>
    </row>
    <row r="711257" spans="31:32" x14ac:dyDescent="0.25">
      <c r="AE711257" s="34"/>
      <c r="AF711257" s="34"/>
    </row>
    <row r="711265" spans="31:32" x14ac:dyDescent="0.25">
      <c r="AE711265" s="36"/>
      <c r="AF711265" s="36"/>
    </row>
    <row r="711361" spans="31:32" x14ac:dyDescent="0.25">
      <c r="AE711361" s="34"/>
      <c r="AF711361" s="34"/>
    </row>
    <row r="711369" spans="31:32" x14ac:dyDescent="0.25">
      <c r="AE711369" s="36"/>
      <c r="AF711369" s="36"/>
    </row>
    <row r="711465" spans="31:32" x14ac:dyDescent="0.25">
      <c r="AE711465" s="34"/>
      <c r="AF711465" s="34"/>
    </row>
    <row r="711473" spans="31:32" x14ac:dyDescent="0.25">
      <c r="AE711473" s="36"/>
      <c r="AF711473" s="36"/>
    </row>
    <row r="711569" spans="31:32" x14ac:dyDescent="0.25">
      <c r="AE711569" s="34"/>
      <c r="AF711569" s="34"/>
    </row>
    <row r="711577" spans="31:32" x14ac:dyDescent="0.25">
      <c r="AE711577" s="36"/>
      <c r="AF711577" s="36"/>
    </row>
    <row r="711673" spans="31:32" x14ac:dyDescent="0.25">
      <c r="AE711673" s="34"/>
      <c r="AF711673" s="34"/>
    </row>
    <row r="711681" spans="31:32" x14ac:dyDescent="0.25">
      <c r="AE711681" s="36"/>
      <c r="AF711681" s="36"/>
    </row>
    <row r="711777" spans="31:32" x14ac:dyDescent="0.25">
      <c r="AE711777" s="34"/>
      <c r="AF711777" s="34"/>
    </row>
    <row r="711785" spans="31:32" x14ac:dyDescent="0.25">
      <c r="AE711785" s="36"/>
      <c r="AF711785" s="36"/>
    </row>
    <row r="711881" spans="31:32" x14ac:dyDescent="0.25">
      <c r="AE711881" s="34"/>
      <c r="AF711881" s="34"/>
    </row>
    <row r="711889" spans="31:32" x14ac:dyDescent="0.25">
      <c r="AE711889" s="36"/>
      <c r="AF711889" s="36"/>
    </row>
    <row r="711985" spans="31:32" x14ac:dyDescent="0.25">
      <c r="AE711985" s="34"/>
      <c r="AF711985" s="34"/>
    </row>
    <row r="711993" spans="31:32" x14ac:dyDescent="0.25">
      <c r="AE711993" s="36"/>
      <c r="AF711993" s="36"/>
    </row>
    <row r="712089" spans="31:32" x14ac:dyDescent="0.25">
      <c r="AE712089" s="34"/>
      <c r="AF712089" s="34"/>
    </row>
    <row r="712097" spans="31:32" x14ac:dyDescent="0.25">
      <c r="AE712097" s="36"/>
      <c r="AF712097" s="36"/>
    </row>
    <row r="712193" spans="31:32" x14ac:dyDescent="0.25">
      <c r="AE712193" s="34"/>
      <c r="AF712193" s="34"/>
    </row>
    <row r="712201" spans="31:32" x14ac:dyDescent="0.25">
      <c r="AE712201" s="36"/>
      <c r="AF712201" s="36"/>
    </row>
    <row r="712297" spans="31:32" x14ac:dyDescent="0.25">
      <c r="AE712297" s="34"/>
      <c r="AF712297" s="34"/>
    </row>
    <row r="712305" spans="31:32" x14ac:dyDescent="0.25">
      <c r="AE712305" s="36"/>
      <c r="AF712305" s="36"/>
    </row>
    <row r="712401" spans="31:32" x14ac:dyDescent="0.25">
      <c r="AE712401" s="34"/>
      <c r="AF712401" s="34"/>
    </row>
    <row r="712409" spans="31:32" x14ac:dyDescent="0.25">
      <c r="AE712409" s="36"/>
      <c r="AF712409" s="36"/>
    </row>
    <row r="712505" spans="31:32" x14ac:dyDescent="0.25">
      <c r="AE712505" s="34"/>
      <c r="AF712505" s="34"/>
    </row>
    <row r="712513" spans="31:32" x14ac:dyDescent="0.25">
      <c r="AE712513" s="36"/>
      <c r="AF712513" s="36"/>
    </row>
    <row r="712609" spans="31:32" x14ac:dyDescent="0.25">
      <c r="AE712609" s="34"/>
      <c r="AF712609" s="34"/>
    </row>
    <row r="712617" spans="31:32" x14ac:dyDescent="0.25">
      <c r="AE712617" s="36"/>
      <c r="AF712617" s="36"/>
    </row>
    <row r="712713" spans="31:32" x14ac:dyDescent="0.25">
      <c r="AE712713" s="34"/>
      <c r="AF712713" s="34"/>
    </row>
    <row r="712721" spans="31:32" x14ac:dyDescent="0.25">
      <c r="AE712721" s="36"/>
      <c r="AF712721" s="36"/>
    </row>
    <row r="712817" spans="31:32" x14ac:dyDescent="0.25">
      <c r="AE712817" s="34"/>
      <c r="AF712817" s="34"/>
    </row>
    <row r="712825" spans="31:32" x14ac:dyDescent="0.25">
      <c r="AE712825" s="36"/>
      <c r="AF712825" s="36"/>
    </row>
    <row r="712921" spans="31:32" x14ac:dyDescent="0.25">
      <c r="AE712921" s="34"/>
      <c r="AF712921" s="34"/>
    </row>
    <row r="712929" spans="31:32" x14ac:dyDescent="0.25">
      <c r="AE712929" s="36"/>
      <c r="AF712929" s="36"/>
    </row>
    <row r="713025" spans="31:32" x14ac:dyDescent="0.25">
      <c r="AE713025" s="34"/>
      <c r="AF713025" s="34"/>
    </row>
    <row r="713033" spans="31:32" x14ac:dyDescent="0.25">
      <c r="AE713033" s="36"/>
      <c r="AF713033" s="36"/>
    </row>
    <row r="713129" spans="31:32" x14ac:dyDescent="0.25">
      <c r="AE713129" s="34"/>
      <c r="AF713129" s="34"/>
    </row>
    <row r="713137" spans="31:32" x14ac:dyDescent="0.25">
      <c r="AE713137" s="36"/>
      <c r="AF713137" s="36"/>
    </row>
    <row r="713233" spans="31:32" x14ac:dyDescent="0.25">
      <c r="AE713233" s="34"/>
      <c r="AF713233" s="34"/>
    </row>
    <row r="713241" spans="31:32" x14ac:dyDescent="0.25">
      <c r="AE713241" s="36"/>
      <c r="AF713241" s="36"/>
    </row>
    <row r="713337" spans="31:32" x14ac:dyDescent="0.25">
      <c r="AE713337" s="34"/>
      <c r="AF713337" s="34"/>
    </row>
    <row r="713345" spans="31:32" x14ac:dyDescent="0.25">
      <c r="AE713345" s="36"/>
      <c r="AF713345" s="36"/>
    </row>
    <row r="713441" spans="31:32" x14ac:dyDescent="0.25">
      <c r="AE713441" s="34"/>
      <c r="AF713441" s="34"/>
    </row>
    <row r="713449" spans="31:32" x14ac:dyDescent="0.25">
      <c r="AE713449" s="36"/>
      <c r="AF713449" s="36"/>
    </row>
    <row r="713545" spans="31:32" x14ac:dyDescent="0.25">
      <c r="AE713545" s="34"/>
      <c r="AF713545" s="34"/>
    </row>
    <row r="713553" spans="31:32" x14ac:dyDescent="0.25">
      <c r="AE713553" s="36"/>
      <c r="AF713553" s="36"/>
    </row>
    <row r="713649" spans="31:32" x14ac:dyDescent="0.25">
      <c r="AE713649" s="34"/>
      <c r="AF713649" s="34"/>
    </row>
    <row r="713657" spans="31:32" x14ac:dyDescent="0.25">
      <c r="AE713657" s="36"/>
      <c r="AF713657" s="36"/>
    </row>
    <row r="713753" spans="31:32" x14ac:dyDescent="0.25">
      <c r="AE713753" s="34"/>
      <c r="AF713753" s="34"/>
    </row>
    <row r="713761" spans="31:32" x14ac:dyDescent="0.25">
      <c r="AE713761" s="36"/>
      <c r="AF713761" s="36"/>
    </row>
    <row r="713857" spans="31:32" x14ac:dyDescent="0.25">
      <c r="AE713857" s="34"/>
      <c r="AF713857" s="34"/>
    </row>
    <row r="713865" spans="31:32" x14ac:dyDescent="0.25">
      <c r="AE713865" s="36"/>
      <c r="AF713865" s="36"/>
    </row>
    <row r="713961" spans="31:32" x14ac:dyDescent="0.25">
      <c r="AE713961" s="34"/>
      <c r="AF713961" s="34"/>
    </row>
    <row r="713969" spans="31:32" x14ac:dyDescent="0.25">
      <c r="AE713969" s="36"/>
      <c r="AF713969" s="36"/>
    </row>
    <row r="714065" spans="31:32" x14ac:dyDescent="0.25">
      <c r="AE714065" s="34"/>
      <c r="AF714065" s="34"/>
    </row>
    <row r="714073" spans="31:32" x14ac:dyDescent="0.25">
      <c r="AE714073" s="36"/>
      <c r="AF714073" s="36"/>
    </row>
    <row r="714169" spans="31:32" x14ac:dyDescent="0.25">
      <c r="AE714169" s="34"/>
      <c r="AF714169" s="34"/>
    </row>
    <row r="714177" spans="31:32" x14ac:dyDescent="0.25">
      <c r="AE714177" s="36"/>
      <c r="AF714177" s="36"/>
    </row>
    <row r="714273" spans="31:32" x14ac:dyDescent="0.25">
      <c r="AE714273" s="34"/>
      <c r="AF714273" s="34"/>
    </row>
    <row r="714281" spans="31:32" x14ac:dyDescent="0.25">
      <c r="AE714281" s="36"/>
      <c r="AF714281" s="36"/>
    </row>
    <row r="714377" spans="31:32" x14ac:dyDescent="0.25">
      <c r="AE714377" s="34"/>
      <c r="AF714377" s="34"/>
    </row>
    <row r="714385" spans="31:32" x14ac:dyDescent="0.25">
      <c r="AE714385" s="36"/>
      <c r="AF714385" s="36"/>
    </row>
    <row r="714481" spans="31:32" x14ac:dyDescent="0.25">
      <c r="AE714481" s="34"/>
      <c r="AF714481" s="34"/>
    </row>
    <row r="714489" spans="31:32" x14ac:dyDescent="0.25">
      <c r="AE714489" s="36"/>
      <c r="AF714489" s="36"/>
    </row>
    <row r="714585" spans="31:32" x14ac:dyDescent="0.25">
      <c r="AE714585" s="34"/>
      <c r="AF714585" s="34"/>
    </row>
    <row r="714593" spans="31:32" x14ac:dyDescent="0.25">
      <c r="AE714593" s="36"/>
      <c r="AF714593" s="36"/>
    </row>
    <row r="714689" spans="31:32" x14ac:dyDescent="0.25">
      <c r="AE714689" s="34"/>
      <c r="AF714689" s="34"/>
    </row>
    <row r="714697" spans="31:32" x14ac:dyDescent="0.25">
      <c r="AE714697" s="36"/>
      <c r="AF714697" s="36"/>
    </row>
    <row r="714793" spans="31:32" x14ac:dyDescent="0.25">
      <c r="AE714793" s="34"/>
      <c r="AF714793" s="34"/>
    </row>
    <row r="714801" spans="31:32" x14ac:dyDescent="0.25">
      <c r="AE714801" s="36"/>
      <c r="AF714801" s="36"/>
    </row>
    <row r="714897" spans="31:32" x14ac:dyDescent="0.25">
      <c r="AE714897" s="34"/>
      <c r="AF714897" s="34"/>
    </row>
    <row r="714905" spans="31:32" x14ac:dyDescent="0.25">
      <c r="AE714905" s="36"/>
      <c r="AF714905" s="36"/>
    </row>
    <row r="715001" spans="31:32" x14ac:dyDescent="0.25">
      <c r="AE715001" s="34"/>
      <c r="AF715001" s="34"/>
    </row>
    <row r="715009" spans="31:32" x14ac:dyDescent="0.25">
      <c r="AE715009" s="36"/>
      <c r="AF715009" s="36"/>
    </row>
    <row r="715105" spans="31:32" x14ac:dyDescent="0.25">
      <c r="AE715105" s="34"/>
      <c r="AF715105" s="34"/>
    </row>
    <row r="715113" spans="31:32" x14ac:dyDescent="0.25">
      <c r="AE715113" s="36"/>
      <c r="AF715113" s="36"/>
    </row>
    <row r="715209" spans="31:32" x14ac:dyDescent="0.25">
      <c r="AE715209" s="34"/>
      <c r="AF715209" s="34"/>
    </row>
    <row r="715217" spans="31:32" x14ac:dyDescent="0.25">
      <c r="AE715217" s="36"/>
      <c r="AF715217" s="36"/>
    </row>
    <row r="715313" spans="31:32" x14ac:dyDescent="0.25">
      <c r="AE715313" s="34"/>
      <c r="AF715313" s="34"/>
    </row>
    <row r="715321" spans="31:32" x14ac:dyDescent="0.25">
      <c r="AE715321" s="36"/>
      <c r="AF715321" s="36"/>
    </row>
    <row r="715417" spans="31:32" x14ac:dyDescent="0.25">
      <c r="AE715417" s="34"/>
      <c r="AF715417" s="34"/>
    </row>
    <row r="715425" spans="31:32" x14ac:dyDescent="0.25">
      <c r="AE715425" s="36"/>
      <c r="AF715425" s="36"/>
    </row>
    <row r="715521" spans="31:32" x14ac:dyDescent="0.25">
      <c r="AE715521" s="34"/>
      <c r="AF715521" s="34"/>
    </row>
    <row r="715529" spans="31:32" x14ac:dyDescent="0.25">
      <c r="AE715529" s="36"/>
      <c r="AF715529" s="36"/>
    </row>
    <row r="715625" spans="31:32" x14ac:dyDescent="0.25">
      <c r="AE715625" s="34"/>
      <c r="AF715625" s="34"/>
    </row>
    <row r="715633" spans="31:32" x14ac:dyDescent="0.25">
      <c r="AE715633" s="36"/>
      <c r="AF715633" s="36"/>
    </row>
    <row r="715729" spans="31:32" x14ac:dyDescent="0.25">
      <c r="AE715729" s="34"/>
      <c r="AF715729" s="34"/>
    </row>
    <row r="715737" spans="31:32" x14ac:dyDescent="0.25">
      <c r="AE715737" s="36"/>
      <c r="AF715737" s="36"/>
    </row>
    <row r="715833" spans="31:32" x14ac:dyDescent="0.25">
      <c r="AE715833" s="34"/>
      <c r="AF715833" s="34"/>
    </row>
    <row r="715841" spans="31:32" x14ac:dyDescent="0.25">
      <c r="AE715841" s="36"/>
      <c r="AF715841" s="36"/>
    </row>
    <row r="715937" spans="31:32" x14ac:dyDescent="0.25">
      <c r="AE715937" s="34"/>
      <c r="AF715937" s="34"/>
    </row>
    <row r="715945" spans="31:32" x14ac:dyDescent="0.25">
      <c r="AE715945" s="36"/>
      <c r="AF715945" s="36"/>
    </row>
    <row r="716041" spans="31:32" x14ac:dyDescent="0.25">
      <c r="AE716041" s="34"/>
      <c r="AF716041" s="34"/>
    </row>
    <row r="716049" spans="31:32" x14ac:dyDescent="0.25">
      <c r="AE716049" s="36"/>
      <c r="AF716049" s="36"/>
    </row>
    <row r="716145" spans="31:32" x14ac:dyDescent="0.25">
      <c r="AE716145" s="34"/>
      <c r="AF716145" s="34"/>
    </row>
    <row r="716153" spans="31:32" x14ac:dyDescent="0.25">
      <c r="AE716153" s="36"/>
      <c r="AF716153" s="36"/>
    </row>
    <row r="716249" spans="31:32" x14ac:dyDescent="0.25">
      <c r="AE716249" s="34"/>
      <c r="AF716249" s="34"/>
    </row>
    <row r="716257" spans="31:32" x14ac:dyDescent="0.25">
      <c r="AE716257" s="36"/>
      <c r="AF716257" s="36"/>
    </row>
    <row r="716353" spans="31:32" x14ac:dyDescent="0.25">
      <c r="AE716353" s="34"/>
      <c r="AF716353" s="34"/>
    </row>
    <row r="716361" spans="31:32" x14ac:dyDescent="0.25">
      <c r="AE716361" s="36"/>
      <c r="AF716361" s="36"/>
    </row>
    <row r="716457" spans="31:32" x14ac:dyDescent="0.25">
      <c r="AE716457" s="34"/>
      <c r="AF716457" s="34"/>
    </row>
    <row r="716465" spans="31:32" x14ac:dyDescent="0.25">
      <c r="AE716465" s="36"/>
      <c r="AF716465" s="36"/>
    </row>
    <row r="716561" spans="31:32" x14ac:dyDescent="0.25">
      <c r="AE716561" s="34"/>
      <c r="AF716561" s="34"/>
    </row>
    <row r="716569" spans="31:32" x14ac:dyDescent="0.25">
      <c r="AE716569" s="36"/>
      <c r="AF716569" s="36"/>
    </row>
    <row r="716665" spans="31:32" x14ac:dyDescent="0.25">
      <c r="AE716665" s="34"/>
      <c r="AF716665" s="34"/>
    </row>
    <row r="716673" spans="31:32" x14ac:dyDescent="0.25">
      <c r="AE716673" s="36"/>
      <c r="AF716673" s="36"/>
    </row>
    <row r="716769" spans="31:32" x14ac:dyDescent="0.25">
      <c r="AE716769" s="34"/>
      <c r="AF716769" s="34"/>
    </row>
    <row r="716777" spans="31:32" x14ac:dyDescent="0.25">
      <c r="AE716777" s="36"/>
      <c r="AF716777" s="36"/>
    </row>
    <row r="716873" spans="31:32" x14ac:dyDescent="0.25">
      <c r="AE716873" s="34"/>
      <c r="AF716873" s="34"/>
    </row>
    <row r="716881" spans="31:32" x14ac:dyDescent="0.25">
      <c r="AE716881" s="36"/>
      <c r="AF716881" s="36"/>
    </row>
    <row r="716977" spans="31:32" x14ac:dyDescent="0.25">
      <c r="AE716977" s="34"/>
      <c r="AF716977" s="34"/>
    </row>
    <row r="716985" spans="31:32" x14ac:dyDescent="0.25">
      <c r="AE716985" s="36"/>
      <c r="AF716985" s="36"/>
    </row>
    <row r="717081" spans="31:32" x14ac:dyDescent="0.25">
      <c r="AE717081" s="34"/>
      <c r="AF717081" s="34"/>
    </row>
    <row r="717089" spans="31:32" x14ac:dyDescent="0.25">
      <c r="AE717089" s="36"/>
      <c r="AF717089" s="36"/>
    </row>
    <row r="717185" spans="31:32" x14ac:dyDescent="0.25">
      <c r="AE717185" s="34"/>
      <c r="AF717185" s="34"/>
    </row>
    <row r="717193" spans="31:32" x14ac:dyDescent="0.25">
      <c r="AE717193" s="36"/>
      <c r="AF717193" s="36"/>
    </row>
    <row r="717289" spans="31:32" x14ac:dyDescent="0.25">
      <c r="AE717289" s="34"/>
      <c r="AF717289" s="34"/>
    </row>
    <row r="717297" spans="31:32" x14ac:dyDescent="0.25">
      <c r="AE717297" s="36"/>
      <c r="AF717297" s="36"/>
    </row>
    <row r="717393" spans="31:32" x14ac:dyDescent="0.25">
      <c r="AE717393" s="34"/>
      <c r="AF717393" s="34"/>
    </row>
    <row r="717401" spans="31:32" x14ac:dyDescent="0.25">
      <c r="AE717401" s="36"/>
      <c r="AF717401" s="36"/>
    </row>
    <row r="717497" spans="31:32" x14ac:dyDescent="0.25">
      <c r="AE717497" s="34"/>
      <c r="AF717497" s="34"/>
    </row>
    <row r="717505" spans="31:32" x14ac:dyDescent="0.25">
      <c r="AE717505" s="36"/>
      <c r="AF717505" s="36"/>
    </row>
    <row r="717601" spans="31:32" x14ac:dyDescent="0.25">
      <c r="AE717601" s="34"/>
      <c r="AF717601" s="34"/>
    </row>
    <row r="717609" spans="31:32" x14ac:dyDescent="0.25">
      <c r="AE717609" s="36"/>
      <c r="AF717609" s="36"/>
    </row>
    <row r="717705" spans="31:32" x14ac:dyDescent="0.25">
      <c r="AE717705" s="34"/>
      <c r="AF717705" s="34"/>
    </row>
    <row r="717713" spans="31:32" x14ac:dyDescent="0.25">
      <c r="AE717713" s="36"/>
      <c r="AF717713" s="36"/>
    </row>
    <row r="717809" spans="31:32" x14ac:dyDescent="0.25">
      <c r="AE717809" s="34"/>
      <c r="AF717809" s="34"/>
    </row>
    <row r="717817" spans="31:32" x14ac:dyDescent="0.25">
      <c r="AE717817" s="36"/>
      <c r="AF717817" s="36"/>
    </row>
    <row r="717913" spans="31:32" x14ac:dyDescent="0.25">
      <c r="AE717913" s="34"/>
      <c r="AF717913" s="34"/>
    </row>
    <row r="717921" spans="31:32" x14ac:dyDescent="0.25">
      <c r="AE717921" s="36"/>
      <c r="AF717921" s="36"/>
    </row>
    <row r="718017" spans="31:32" x14ac:dyDescent="0.25">
      <c r="AE718017" s="34"/>
      <c r="AF718017" s="34"/>
    </row>
    <row r="718025" spans="31:32" x14ac:dyDescent="0.25">
      <c r="AE718025" s="36"/>
      <c r="AF718025" s="36"/>
    </row>
    <row r="718121" spans="31:32" x14ac:dyDescent="0.25">
      <c r="AE718121" s="34"/>
      <c r="AF718121" s="34"/>
    </row>
    <row r="718129" spans="31:32" x14ac:dyDescent="0.25">
      <c r="AE718129" s="36"/>
      <c r="AF718129" s="36"/>
    </row>
    <row r="718225" spans="31:32" x14ac:dyDescent="0.25">
      <c r="AE718225" s="34"/>
      <c r="AF718225" s="34"/>
    </row>
    <row r="718233" spans="31:32" x14ac:dyDescent="0.25">
      <c r="AE718233" s="36"/>
      <c r="AF718233" s="36"/>
    </row>
    <row r="718329" spans="31:32" x14ac:dyDescent="0.25">
      <c r="AE718329" s="34"/>
      <c r="AF718329" s="34"/>
    </row>
    <row r="718337" spans="31:32" x14ac:dyDescent="0.25">
      <c r="AE718337" s="36"/>
      <c r="AF718337" s="36"/>
    </row>
    <row r="718433" spans="31:32" x14ac:dyDescent="0.25">
      <c r="AE718433" s="34"/>
      <c r="AF718433" s="34"/>
    </row>
    <row r="718441" spans="31:32" x14ac:dyDescent="0.25">
      <c r="AE718441" s="36"/>
      <c r="AF718441" s="36"/>
    </row>
    <row r="718537" spans="31:32" x14ac:dyDescent="0.25">
      <c r="AE718537" s="34"/>
      <c r="AF718537" s="34"/>
    </row>
    <row r="718545" spans="31:32" x14ac:dyDescent="0.25">
      <c r="AE718545" s="36"/>
      <c r="AF718545" s="36"/>
    </row>
    <row r="718641" spans="31:32" x14ac:dyDescent="0.25">
      <c r="AE718641" s="34"/>
      <c r="AF718641" s="34"/>
    </row>
    <row r="718649" spans="31:32" x14ac:dyDescent="0.25">
      <c r="AE718649" s="36"/>
      <c r="AF718649" s="36"/>
    </row>
    <row r="718745" spans="31:32" x14ac:dyDescent="0.25">
      <c r="AE718745" s="34"/>
      <c r="AF718745" s="34"/>
    </row>
    <row r="718753" spans="31:32" x14ac:dyDescent="0.25">
      <c r="AE718753" s="36"/>
      <c r="AF718753" s="36"/>
    </row>
    <row r="718849" spans="31:32" x14ac:dyDescent="0.25">
      <c r="AE718849" s="34"/>
      <c r="AF718849" s="34"/>
    </row>
    <row r="718857" spans="31:32" x14ac:dyDescent="0.25">
      <c r="AE718857" s="36"/>
      <c r="AF718857" s="36"/>
    </row>
    <row r="718953" spans="31:32" x14ac:dyDescent="0.25">
      <c r="AE718953" s="34"/>
      <c r="AF718953" s="34"/>
    </row>
    <row r="718961" spans="31:32" x14ac:dyDescent="0.25">
      <c r="AE718961" s="36"/>
      <c r="AF718961" s="36"/>
    </row>
    <row r="719057" spans="31:32" x14ac:dyDescent="0.25">
      <c r="AE719057" s="34"/>
      <c r="AF719057" s="34"/>
    </row>
    <row r="719065" spans="31:32" x14ac:dyDescent="0.25">
      <c r="AE719065" s="36"/>
      <c r="AF719065" s="36"/>
    </row>
    <row r="719161" spans="31:32" x14ac:dyDescent="0.25">
      <c r="AE719161" s="34"/>
      <c r="AF719161" s="34"/>
    </row>
    <row r="719169" spans="31:32" x14ac:dyDescent="0.25">
      <c r="AE719169" s="36"/>
      <c r="AF719169" s="36"/>
    </row>
    <row r="719265" spans="31:32" x14ac:dyDescent="0.25">
      <c r="AE719265" s="34"/>
      <c r="AF719265" s="34"/>
    </row>
    <row r="719273" spans="31:32" x14ac:dyDescent="0.25">
      <c r="AE719273" s="36"/>
      <c r="AF719273" s="36"/>
    </row>
    <row r="719369" spans="31:32" x14ac:dyDescent="0.25">
      <c r="AE719369" s="34"/>
      <c r="AF719369" s="34"/>
    </row>
    <row r="719377" spans="31:32" x14ac:dyDescent="0.25">
      <c r="AE719377" s="36"/>
      <c r="AF719377" s="36"/>
    </row>
    <row r="719473" spans="31:32" x14ac:dyDescent="0.25">
      <c r="AE719473" s="34"/>
      <c r="AF719473" s="34"/>
    </row>
    <row r="719481" spans="31:32" x14ac:dyDescent="0.25">
      <c r="AE719481" s="36"/>
      <c r="AF719481" s="36"/>
    </row>
    <row r="719577" spans="31:32" x14ac:dyDescent="0.25">
      <c r="AE719577" s="34"/>
      <c r="AF719577" s="34"/>
    </row>
    <row r="719585" spans="31:32" x14ac:dyDescent="0.25">
      <c r="AE719585" s="36"/>
      <c r="AF719585" s="36"/>
    </row>
    <row r="719681" spans="31:32" x14ac:dyDescent="0.25">
      <c r="AE719681" s="34"/>
      <c r="AF719681" s="34"/>
    </row>
    <row r="719689" spans="31:32" x14ac:dyDescent="0.25">
      <c r="AE719689" s="36"/>
      <c r="AF719689" s="36"/>
    </row>
    <row r="719785" spans="31:32" x14ac:dyDescent="0.25">
      <c r="AE719785" s="34"/>
      <c r="AF719785" s="34"/>
    </row>
    <row r="719793" spans="31:32" x14ac:dyDescent="0.25">
      <c r="AE719793" s="36"/>
      <c r="AF719793" s="36"/>
    </row>
    <row r="719889" spans="31:32" x14ac:dyDescent="0.25">
      <c r="AE719889" s="34"/>
      <c r="AF719889" s="34"/>
    </row>
    <row r="719897" spans="31:32" x14ac:dyDescent="0.25">
      <c r="AE719897" s="36"/>
      <c r="AF719897" s="36"/>
    </row>
    <row r="719993" spans="31:32" x14ac:dyDescent="0.25">
      <c r="AE719993" s="34"/>
      <c r="AF719993" s="34"/>
    </row>
    <row r="720001" spans="31:32" x14ac:dyDescent="0.25">
      <c r="AE720001" s="36"/>
      <c r="AF720001" s="36"/>
    </row>
    <row r="720097" spans="31:32" x14ac:dyDescent="0.25">
      <c r="AE720097" s="34"/>
      <c r="AF720097" s="34"/>
    </row>
    <row r="720105" spans="31:32" x14ac:dyDescent="0.25">
      <c r="AE720105" s="36"/>
      <c r="AF720105" s="36"/>
    </row>
    <row r="720201" spans="31:32" x14ac:dyDescent="0.25">
      <c r="AE720201" s="34"/>
      <c r="AF720201" s="34"/>
    </row>
    <row r="720209" spans="31:32" x14ac:dyDescent="0.25">
      <c r="AE720209" s="36"/>
      <c r="AF720209" s="36"/>
    </row>
    <row r="720305" spans="31:32" x14ac:dyDescent="0.25">
      <c r="AE720305" s="34"/>
      <c r="AF720305" s="34"/>
    </row>
    <row r="720313" spans="31:32" x14ac:dyDescent="0.25">
      <c r="AE720313" s="36"/>
      <c r="AF720313" s="36"/>
    </row>
    <row r="720409" spans="31:32" x14ac:dyDescent="0.25">
      <c r="AE720409" s="34"/>
      <c r="AF720409" s="34"/>
    </row>
    <row r="720417" spans="31:32" x14ac:dyDescent="0.25">
      <c r="AE720417" s="36"/>
      <c r="AF720417" s="36"/>
    </row>
    <row r="720513" spans="31:32" x14ac:dyDescent="0.25">
      <c r="AE720513" s="34"/>
      <c r="AF720513" s="34"/>
    </row>
    <row r="720521" spans="31:32" x14ac:dyDescent="0.25">
      <c r="AE720521" s="36"/>
      <c r="AF720521" s="36"/>
    </row>
    <row r="720617" spans="31:32" x14ac:dyDescent="0.25">
      <c r="AE720617" s="34"/>
      <c r="AF720617" s="34"/>
    </row>
    <row r="720625" spans="31:32" x14ac:dyDescent="0.25">
      <c r="AE720625" s="36"/>
      <c r="AF720625" s="36"/>
    </row>
    <row r="720721" spans="31:32" x14ac:dyDescent="0.25">
      <c r="AE720721" s="34"/>
      <c r="AF720721" s="34"/>
    </row>
    <row r="720729" spans="31:32" x14ac:dyDescent="0.25">
      <c r="AE720729" s="36"/>
      <c r="AF720729" s="36"/>
    </row>
    <row r="720825" spans="31:32" x14ac:dyDescent="0.25">
      <c r="AE720825" s="34"/>
      <c r="AF720825" s="34"/>
    </row>
    <row r="720833" spans="31:32" x14ac:dyDescent="0.25">
      <c r="AE720833" s="36"/>
      <c r="AF720833" s="36"/>
    </row>
    <row r="720929" spans="31:32" x14ac:dyDescent="0.25">
      <c r="AE720929" s="34"/>
      <c r="AF720929" s="34"/>
    </row>
    <row r="720937" spans="31:32" x14ac:dyDescent="0.25">
      <c r="AE720937" s="36"/>
      <c r="AF720937" s="36"/>
    </row>
    <row r="721033" spans="31:32" x14ac:dyDescent="0.25">
      <c r="AE721033" s="34"/>
      <c r="AF721033" s="34"/>
    </row>
    <row r="721041" spans="31:32" x14ac:dyDescent="0.25">
      <c r="AE721041" s="36"/>
      <c r="AF721041" s="36"/>
    </row>
    <row r="721137" spans="31:32" x14ac:dyDescent="0.25">
      <c r="AE721137" s="34"/>
      <c r="AF721137" s="34"/>
    </row>
    <row r="721145" spans="31:32" x14ac:dyDescent="0.25">
      <c r="AE721145" s="36"/>
      <c r="AF721145" s="36"/>
    </row>
    <row r="721241" spans="31:32" x14ac:dyDescent="0.25">
      <c r="AE721241" s="34"/>
      <c r="AF721241" s="34"/>
    </row>
    <row r="721249" spans="31:32" x14ac:dyDescent="0.25">
      <c r="AE721249" s="36"/>
      <c r="AF721249" s="36"/>
    </row>
    <row r="721345" spans="31:32" x14ac:dyDescent="0.25">
      <c r="AE721345" s="34"/>
      <c r="AF721345" s="34"/>
    </row>
    <row r="721353" spans="31:32" x14ac:dyDescent="0.25">
      <c r="AE721353" s="36"/>
      <c r="AF721353" s="36"/>
    </row>
    <row r="721449" spans="31:32" x14ac:dyDescent="0.25">
      <c r="AE721449" s="34"/>
      <c r="AF721449" s="34"/>
    </row>
    <row r="721457" spans="31:32" x14ac:dyDescent="0.25">
      <c r="AE721457" s="36"/>
      <c r="AF721457" s="36"/>
    </row>
    <row r="721553" spans="31:32" x14ac:dyDescent="0.25">
      <c r="AE721553" s="34"/>
      <c r="AF721553" s="34"/>
    </row>
    <row r="721561" spans="31:32" x14ac:dyDescent="0.25">
      <c r="AE721561" s="36"/>
      <c r="AF721561" s="36"/>
    </row>
    <row r="721657" spans="31:32" x14ac:dyDescent="0.25">
      <c r="AE721657" s="34"/>
      <c r="AF721657" s="34"/>
    </row>
    <row r="721665" spans="31:32" x14ac:dyDescent="0.25">
      <c r="AE721665" s="36"/>
      <c r="AF721665" s="36"/>
    </row>
    <row r="721761" spans="31:32" x14ac:dyDescent="0.25">
      <c r="AE721761" s="34"/>
      <c r="AF721761" s="34"/>
    </row>
    <row r="721769" spans="31:32" x14ac:dyDescent="0.25">
      <c r="AE721769" s="36"/>
      <c r="AF721769" s="36"/>
    </row>
    <row r="721865" spans="31:32" x14ac:dyDescent="0.25">
      <c r="AE721865" s="34"/>
      <c r="AF721865" s="34"/>
    </row>
    <row r="721873" spans="31:32" x14ac:dyDescent="0.25">
      <c r="AE721873" s="36"/>
      <c r="AF721873" s="36"/>
    </row>
    <row r="721969" spans="31:32" x14ac:dyDescent="0.25">
      <c r="AE721969" s="34"/>
      <c r="AF721969" s="34"/>
    </row>
    <row r="721977" spans="31:32" x14ac:dyDescent="0.25">
      <c r="AE721977" s="36"/>
      <c r="AF721977" s="36"/>
    </row>
    <row r="722073" spans="31:32" x14ac:dyDescent="0.25">
      <c r="AE722073" s="34"/>
      <c r="AF722073" s="34"/>
    </row>
    <row r="722081" spans="31:32" x14ac:dyDescent="0.25">
      <c r="AE722081" s="36"/>
      <c r="AF722081" s="36"/>
    </row>
    <row r="722177" spans="31:32" x14ac:dyDescent="0.25">
      <c r="AE722177" s="34"/>
      <c r="AF722177" s="34"/>
    </row>
    <row r="722185" spans="31:32" x14ac:dyDescent="0.25">
      <c r="AE722185" s="36"/>
      <c r="AF722185" s="36"/>
    </row>
    <row r="722281" spans="31:32" x14ac:dyDescent="0.25">
      <c r="AE722281" s="34"/>
      <c r="AF722281" s="34"/>
    </row>
    <row r="722289" spans="31:32" x14ac:dyDescent="0.25">
      <c r="AE722289" s="36"/>
      <c r="AF722289" s="36"/>
    </row>
    <row r="722385" spans="31:32" x14ac:dyDescent="0.25">
      <c r="AE722385" s="34"/>
      <c r="AF722385" s="34"/>
    </row>
    <row r="722393" spans="31:32" x14ac:dyDescent="0.25">
      <c r="AE722393" s="36"/>
      <c r="AF722393" s="36"/>
    </row>
    <row r="722489" spans="31:32" x14ac:dyDescent="0.25">
      <c r="AE722489" s="34"/>
      <c r="AF722489" s="34"/>
    </row>
    <row r="722497" spans="31:32" x14ac:dyDescent="0.25">
      <c r="AE722497" s="36"/>
      <c r="AF722497" s="36"/>
    </row>
    <row r="722593" spans="31:32" x14ac:dyDescent="0.25">
      <c r="AE722593" s="34"/>
      <c r="AF722593" s="34"/>
    </row>
    <row r="722601" spans="31:32" x14ac:dyDescent="0.25">
      <c r="AE722601" s="36"/>
      <c r="AF722601" s="36"/>
    </row>
    <row r="722697" spans="31:32" x14ac:dyDescent="0.25">
      <c r="AE722697" s="34"/>
      <c r="AF722697" s="34"/>
    </row>
    <row r="722705" spans="31:32" x14ac:dyDescent="0.25">
      <c r="AE722705" s="36"/>
      <c r="AF722705" s="36"/>
    </row>
    <row r="722801" spans="31:32" x14ac:dyDescent="0.25">
      <c r="AE722801" s="34"/>
      <c r="AF722801" s="34"/>
    </row>
    <row r="722809" spans="31:32" x14ac:dyDescent="0.25">
      <c r="AE722809" s="36"/>
      <c r="AF722809" s="36"/>
    </row>
    <row r="722905" spans="31:32" x14ac:dyDescent="0.25">
      <c r="AE722905" s="34"/>
      <c r="AF722905" s="34"/>
    </row>
    <row r="722913" spans="31:32" x14ac:dyDescent="0.25">
      <c r="AE722913" s="36"/>
      <c r="AF722913" s="36"/>
    </row>
    <row r="723009" spans="31:32" x14ac:dyDescent="0.25">
      <c r="AE723009" s="34"/>
      <c r="AF723009" s="34"/>
    </row>
    <row r="723017" spans="31:32" x14ac:dyDescent="0.25">
      <c r="AE723017" s="36"/>
      <c r="AF723017" s="36"/>
    </row>
    <row r="723113" spans="31:32" x14ac:dyDescent="0.25">
      <c r="AE723113" s="34"/>
      <c r="AF723113" s="34"/>
    </row>
    <row r="723121" spans="31:32" x14ac:dyDescent="0.25">
      <c r="AE723121" s="36"/>
      <c r="AF723121" s="36"/>
    </row>
    <row r="723217" spans="31:32" x14ac:dyDescent="0.25">
      <c r="AE723217" s="34"/>
      <c r="AF723217" s="34"/>
    </row>
    <row r="723225" spans="31:32" x14ac:dyDescent="0.25">
      <c r="AE723225" s="36"/>
      <c r="AF723225" s="36"/>
    </row>
    <row r="723321" spans="31:32" x14ac:dyDescent="0.25">
      <c r="AE723321" s="34"/>
      <c r="AF723321" s="34"/>
    </row>
    <row r="723329" spans="31:32" x14ac:dyDescent="0.25">
      <c r="AE723329" s="36"/>
      <c r="AF723329" s="36"/>
    </row>
    <row r="723425" spans="31:32" x14ac:dyDescent="0.25">
      <c r="AE723425" s="34"/>
      <c r="AF723425" s="34"/>
    </row>
    <row r="723433" spans="31:32" x14ac:dyDescent="0.25">
      <c r="AE723433" s="36"/>
      <c r="AF723433" s="36"/>
    </row>
    <row r="723529" spans="31:32" x14ac:dyDescent="0.25">
      <c r="AE723529" s="34"/>
      <c r="AF723529" s="34"/>
    </row>
    <row r="723537" spans="31:32" x14ac:dyDescent="0.25">
      <c r="AE723537" s="36"/>
      <c r="AF723537" s="36"/>
    </row>
    <row r="723633" spans="31:32" x14ac:dyDescent="0.25">
      <c r="AE723633" s="34"/>
      <c r="AF723633" s="34"/>
    </row>
    <row r="723641" spans="31:32" x14ac:dyDescent="0.25">
      <c r="AE723641" s="36"/>
      <c r="AF723641" s="36"/>
    </row>
    <row r="723737" spans="31:32" x14ac:dyDescent="0.25">
      <c r="AE723737" s="34"/>
      <c r="AF723737" s="34"/>
    </row>
    <row r="723745" spans="31:32" x14ac:dyDescent="0.25">
      <c r="AE723745" s="36"/>
      <c r="AF723745" s="36"/>
    </row>
    <row r="723841" spans="31:32" x14ac:dyDescent="0.25">
      <c r="AE723841" s="34"/>
      <c r="AF723841" s="34"/>
    </row>
    <row r="723849" spans="31:32" x14ac:dyDescent="0.25">
      <c r="AE723849" s="36"/>
      <c r="AF723849" s="36"/>
    </row>
    <row r="723945" spans="31:32" x14ac:dyDescent="0.25">
      <c r="AE723945" s="34"/>
      <c r="AF723945" s="34"/>
    </row>
    <row r="723953" spans="31:32" x14ac:dyDescent="0.25">
      <c r="AE723953" s="36"/>
      <c r="AF723953" s="36"/>
    </row>
    <row r="724049" spans="31:32" x14ac:dyDescent="0.25">
      <c r="AE724049" s="34"/>
      <c r="AF724049" s="34"/>
    </row>
    <row r="724057" spans="31:32" x14ac:dyDescent="0.25">
      <c r="AE724057" s="36"/>
      <c r="AF724057" s="36"/>
    </row>
    <row r="724153" spans="31:32" x14ac:dyDescent="0.25">
      <c r="AE724153" s="34"/>
      <c r="AF724153" s="34"/>
    </row>
    <row r="724161" spans="31:32" x14ac:dyDescent="0.25">
      <c r="AE724161" s="36"/>
      <c r="AF724161" s="36"/>
    </row>
    <row r="724257" spans="31:32" x14ac:dyDescent="0.25">
      <c r="AE724257" s="34"/>
      <c r="AF724257" s="34"/>
    </row>
    <row r="724265" spans="31:32" x14ac:dyDescent="0.25">
      <c r="AE724265" s="36"/>
      <c r="AF724265" s="36"/>
    </row>
    <row r="724361" spans="31:32" x14ac:dyDescent="0.25">
      <c r="AE724361" s="34"/>
      <c r="AF724361" s="34"/>
    </row>
    <row r="724369" spans="31:32" x14ac:dyDescent="0.25">
      <c r="AE724369" s="36"/>
      <c r="AF724369" s="36"/>
    </row>
    <row r="724465" spans="31:32" x14ac:dyDescent="0.25">
      <c r="AE724465" s="34"/>
      <c r="AF724465" s="34"/>
    </row>
    <row r="724473" spans="31:32" x14ac:dyDescent="0.25">
      <c r="AE724473" s="36"/>
      <c r="AF724473" s="36"/>
    </row>
    <row r="724569" spans="31:32" x14ac:dyDescent="0.25">
      <c r="AE724569" s="34"/>
      <c r="AF724569" s="34"/>
    </row>
    <row r="724577" spans="31:32" x14ac:dyDescent="0.25">
      <c r="AE724577" s="36"/>
      <c r="AF724577" s="36"/>
    </row>
    <row r="724673" spans="31:32" x14ac:dyDescent="0.25">
      <c r="AE724673" s="34"/>
      <c r="AF724673" s="34"/>
    </row>
    <row r="724681" spans="31:32" x14ac:dyDescent="0.25">
      <c r="AE724681" s="36"/>
      <c r="AF724681" s="36"/>
    </row>
    <row r="724777" spans="31:32" x14ac:dyDescent="0.25">
      <c r="AE724777" s="34"/>
      <c r="AF724777" s="34"/>
    </row>
    <row r="724785" spans="31:32" x14ac:dyDescent="0.25">
      <c r="AE724785" s="36"/>
      <c r="AF724785" s="36"/>
    </row>
    <row r="724881" spans="31:32" x14ac:dyDescent="0.25">
      <c r="AE724881" s="34"/>
      <c r="AF724881" s="34"/>
    </row>
    <row r="724889" spans="31:32" x14ac:dyDescent="0.25">
      <c r="AE724889" s="36"/>
      <c r="AF724889" s="36"/>
    </row>
    <row r="724985" spans="31:32" x14ac:dyDescent="0.25">
      <c r="AE724985" s="34"/>
      <c r="AF724985" s="34"/>
    </row>
    <row r="724993" spans="31:32" x14ac:dyDescent="0.25">
      <c r="AE724993" s="36"/>
      <c r="AF724993" s="36"/>
    </row>
    <row r="725089" spans="31:32" x14ac:dyDescent="0.25">
      <c r="AE725089" s="34"/>
      <c r="AF725089" s="34"/>
    </row>
    <row r="725097" spans="31:32" x14ac:dyDescent="0.25">
      <c r="AE725097" s="36"/>
      <c r="AF725097" s="36"/>
    </row>
    <row r="725193" spans="31:32" x14ac:dyDescent="0.25">
      <c r="AE725193" s="34"/>
      <c r="AF725193" s="34"/>
    </row>
    <row r="725201" spans="31:32" x14ac:dyDescent="0.25">
      <c r="AE725201" s="36"/>
      <c r="AF725201" s="36"/>
    </row>
    <row r="725297" spans="31:32" x14ac:dyDescent="0.25">
      <c r="AE725297" s="34"/>
      <c r="AF725297" s="34"/>
    </row>
    <row r="725305" spans="31:32" x14ac:dyDescent="0.25">
      <c r="AE725305" s="36"/>
      <c r="AF725305" s="36"/>
    </row>
    <row r="725401" spans="31:32" x14ac:dyDescent="0.25">
      <c r="AE725401" s="34"/>
      <c r="AF725401" s="34"/>
    </row>
    <row r="725409" spans="31:32" x14ac:dyDescent="0.25">
      <c r="AE725409" s="36"/>
      <c r="AF725409" s="36"/>
    </row>
    <row r="725505" spans="31:32" x14ac:dyDescent="0.25">
      <c r="AE725505" s="34"/>
      <c r="AF725505" s="34"/>
    </row>
    <row r="725513" spans="31:32" x14ac:dyDescent="0.25">
      <c r="AE725513" s="36"/>
      <c r="AF725513" s="36"/>
    </row>
    <row r="725609" spans="31:32" x14ac:dyDescent="0.25">
      <c r="AE725609" s="34"/>
      <c r="AF725609" s="34"/>
    </row>
    <row r="725617" spans="31:32" x14ac:dyDescent="0.25">
      <c r="AE725617" s="36"/>
      <c r="AF725617" s="36"/>
    </row>
    <row r="725713" spans="31:32" x14ac:dyDescent="0.25">
      <c r="AE725713" s="34"/>
      <c r="AF725713" s="34"/>
    </row>
    <row r="725721" spans="31:32" x14ac:dyDescent="0.25">
      <c r="AE725721" s="36"/>
      <c r="AF725721" s="36"/>
    </row>
    <row r="725817" spans="31:32" x14ac:dyDescent="0.25">
      <c r="AE725817" s="34"/>
      <c r="AF725817" s="34"/>
    </row>
    <row r="725825" spans="31:32" x14ac:dyDescent="0.25">
      <c r="AE725825" s="36"/>
      <c r="AF725825" s="36"/>
    </row>
    <row r="725921" spans="31:32" x14ac:dyDescent="0.25">
      <c r="AE725921" s="34"/>
      <c r="AF725921" s="34"/>
    </row>
    <row r="725929" spans="31:32" x14ac:dyDescent="0.25">
      <c r="AE725929" s="36"/>
      <c r="AF725929" s="36"/>
    </row>
    <row r="726025" spans="31:32" x14ac:dyDescent="0.25">
      <c r="AE726025" s="34"/>
      <c r="AF726025" s="34"/>
    </row>
    <row r="726033" spans="31:32" x14ac:dyDescent="0.25">
      <c r="AE726033" s="36"/>
      <c r="AF726033" s="36"/>
    </row>
    <row r="726129" spans="31:32" x14ac:dyDescent="0.25">
      <c r="AE726129" s="34"/>
      <c r="AF726129" s="34"/>
    </row>
    <row r="726137" spans="31:32" x14ac:dyDescent="0.25">
      <c r="AE726137" s="36"/>
      <c r="AF726137" s="36"/>
    </row>
    <row r="726233" spans="31:32" x14ac:dyDescent="0.25">
      <c r="AE726233" s="34"/>
      <c r="AF726233" s="34"/>
    </row>
    <row r="726241" spans="31:32" x14ac:dyDescent="0.25">
      <c r="AE726241" s="36"/>
      <c r="AF726241" s="36"/>
    </row>
    <row r="726337" spans="31:32" x14ac:dyDescent="0.25">
      <c r="AE726337" s="34"/>
      <c r="AF726337" s="34"/>
    </row>
    <row r="726345" spans="31:32" x14ac:dyDescent="0.25">
      <c r="AE726345" s="36"/>
      <c r="AF726345" s="36"/>
    </row>
    <row r="726441" spans="31:32" x14ac:dyDescent="0.25">
      <c r="AE726441" s="34"/>
      <c r="AF726441" s="34"/>
    </row>
    <row r="726449" spans="31:32" x14ac:dyDescent="0.25">
      <c r="AE726449" s="36"/>
      <c r="AF726449" s="36"/>
    </row>
    <row r="726545" spans="31:32" x14ac:dyDescent="0.25">
      <c r="AE726545" s="34"/>
      <c r="AF726545" s="34"/>
    </row>
    <row r="726553" spans="31:32" x14ac:dyDescent="0.25">
      <c r="AE726553" s="36"/>
      <c r="AF726553" s="36"/>
    </row>
    <row r="726649" spans="31:32" x14ac:dyDescent="0.25">
      <c r="AE726649" s="34"/>
      <c r="AF726649" s="34"/>
    </row>
    <row r="726657" spans="31:32" x14ac:dyDescent="0.25">
      <c r="AE726657" s="36"/>
      <c r="AF726657" s="36"/>
    </row>
    <row r="726753" spans="31:32" x14ac:dyDescent="0.25">
      <c r="AE726753" s="34"/>
      <c r="AF726753" s="34"/>
    </row>
    <row r="726761" spans="31:32" x14ac:dyDescent="0.25">
      <c r="AE726761" s="36"/>
      <c r="AF726761" s="36"/>
    </row>
    <row r="726857" spans="31:32" x14ac:dyDescent="0.25">
      <c r="AE726857" s="34"/>
      <c r="AF726857" s="34"/>
    </row>
    <row r="726865" spans="31:32" x14ac:dyDescent="0.25">
      <c r="AE726865" s="36"/>
      <c r="AF726865" s="36"/>
    </row>
    <row r="726961" spans="31:32" x14ac:dyDescent="0.25">
      <c r="AE726961" s="34"/>
      <c r="AF726961" s="34"/>
    </row>
    <row r="726969" spans="31:32" x14ac:dyDescent="0.25">
      <c r="AE726969" s="36"/>
      <c r="AF726969" s="36"/>
    </row>
    <row r="727065" spans="31:32" x14ac:dyDescent="0.25">
      <c r="AE727065" s="34"/>
      <c r="AF727065" s="34"/>
    </row>
    <row r="727073" spans="31:32" x14ac:dyDescent="0.25">
      <c r="AE727073" s="36"/>
      <c r="AF727073" s="36"/>
    </row>
    <row r="727169" spans="31:32" x14ac:dyDescent="0.25">
      <c r="AE727169" s="34"/>
      <c r="AF727169" s="34"/>
    </row>
    <row r="727177" spans="31:32" x14ac:dyDescent="0.25">
      <c r="AE727177" s="36"/>
      <c r="AF727177" s="36"/>
    </row>
    <row r="727273" spans="31:32" x14ac:dyDescent="0.25">
      <c r="AE727273" s="34"/>
      <c r="AF727273" s="34"/>
    </row>
    <row r="727281" spans="31:32" x14ac:dyDescent="0.25">
      <c r="AE727281" s="36"/>
      <c r="AF727281" s="36"/>
    </row>
    <row r="727377" spans="31:32" x14ac:dyDescent="0.25">
      <c r="AE727377" s="34"/>
      <c r="AF727377" s="34"/>
    </row>
    <row r="727385" spans="31:32" x14ac:dyDescent="0.25">
      <c r="AE727385" s="36"/>
      <c r="AF727385" s="36"/>
    </row>
    <row r="727481" spans="31:32" x14ac:dyDescent="0.25">
      <c r="AE727481" s="34"/>
      <c r="AF727481" s="34"/>
    </row>
    <row r="727489" spans="31:32" x14ac:dyDescent="0.25">
      <c r="AE727489" s="36"/>
      <c r="AF727489" s="36"/>
    </row>
    <row r="727585" spans="31:32" x14ac:dyDescent="0.25">
      <c r="AE727585" s="34"/>
      <c r="AF727585" s="34"/>
    </row>
    <row r="727593" spans="31:32" x14ac:dyDescent="0.25">
      <c r="AE727593" s="36"/>
      <c r="AF727593" s="36"/>
    </row>
    <row r="727689" spans="31:32" x14ac:dyDescent="0.25">
      <c r="AE727689" s="34"/>
      <c r="AF727689" s="34"/>
    </row>
    <row r="727697" spans="31:32" x14ac:dyDescent="0.25">
      <c r="AE727697" s="36"/>
      <c r="AF727697" s="36"/>
    </row>
    <row r="727793" spans="31:32" x14ac:dyDescent="0.25">
      <c r="AE727793" s="34"/>
      <c r="AF727793" s="34"/>
    </row>
    <row r="727801" spans="31:32" x14ac:dyDescent="0.25">
      <c r="AE727801" s="36"/>
      <c r="AF727801" s="36"/>
    </row>
    <row r="727897" spans="31:32" x14ac:dyDescent="0.25">
      <c r="AE727897" s="34"/>
      <c r="AF727897" s="34"/>
    </row>
    <row r="727905" spans="31:32" x14ac:dyDescent="0.25">
      <c r="AE727905" s="36"/>
      <c r="AF727905" s="36"/>
    </row>
    <row r="728001" spans="31:32" x14ac:dyDescent="0.25">
      <c r="AE728001" s="34"/>
      <c r="AF728001" s="34"/>
    </row>
    <row r="728009" spans="31:32" x14ac:dyDescent="0.25">
      <c r="AE728009" s="36"/>
      <c r="AF728009" s="36"/>
    </row>
    <row r="728105" spans="31:32" x14ac:dyDescent="0.25">
      <c r="AE728105" s="34"/>
      <c r="AF728105" s="34"/>
    </row>
    <row r="728113" spans="31:32" x14ac:dyDescent="0.25">
      <c r="AE728113" s="36"/>
      <c r="AF728113" s="36"/>
    </row>
    <row r="728209" spans="31:32" x14ac:dyDescent="0.25">
      <c r="AE728209" s="34"/>
      <c r="AF728209" s="34"/>
    </row>
    <row r="728217" spans="31:32" x14ac:dyDescent="0.25">
      <c r="AE728217" s="36"/>
      <c r="AF728217" s="36"/>
    </row>
    <row r="728313" spans="31:32" x14ac:dyDescent="0.25">
      <c r="AE728313" s="34"/>
      <c r="AF728313" s="34"/>
    </row>
    <row r="728321" spans="31:32" x14ac:dyDescent="0.25">
      <c r="AE728321" s="36"/>
      <c r="AF728321" s="36"/>
    </row>
    <row r="728417" spans="31:32" x14ac:dyDescent="0.25">
      <c r="AE728417" s="34"/>
      <c r="AF728417" s="34"/>
    </row>
    <row r="728425" spans="31:32" x14ac:dyDescent="0.25">
      <c r="AE728425" s="36"/>
      <c r="AF728425" s="36"/>
    </row>
    <row r="728521" spans="31:32" x14ac:dyDescent="0.25">
      <c r="AE728521" s="34"/>
      <c r="AF728521" s="34"/>
    </row>
    <row r="728529" spans="31:32" x14ac:dyDescent="0.25">
      <c r="AE728529" s="36"/>
      <c r="AF728529" s="36"/>
    </row>
    <row r="728625" spans="31:32" x14ac:dyDescent="0.25">
      <c r="AE728625" s="34"/>
      <c r="AF728625" s="34"/>
    </row>
    <row r="728633" spans="31:32" x14ac:dyDescent="0.25">
      <c r="AE728633" s="36"/>
      <c r="AF728633" s="36"/>
    </row>
    <row r="728729" spans="31:32" x14ac:dyDescent="0.25">
      <c r="AE728729" s="34"/>
      <c r="AF728729" s="34"/>
    </row>
    <row r="728737" spans="31:32" x14ac:dyDescent="0.25">
      <c r="AE728737" s="36"/>
      <c r="AF728737" s="36"/>
    </row>
    <row r="728833" spans="31:32" x14ac:dyDescent="0.25">
      <c r="AE728833" s="34"/>
      <c r="AF728833" s="34"/>
    </row>
    <row r="728841" spans="31:32" x14ac:dyDescent="0.25">
      <c r="AE728841" s="36"/>
      <c r="AF728841" s="36"/>
    </row>
    <row r="728937" spans="31:32" x14ac:dyDescent="0.25">
      <c r="AE728937" s="34"/>
      <c r="AF728937" s="34"/>
    </row>
    <row r="728945" spans="31:32" x14ac:dyDescent="0.25">
      <c r="AE728945" s="36"/>
      <c r="AF728945" s="36"/>
    </row>
    <row r="729041" spans="31:32" x14ac:dyDescent="0.25">
      <c r="AE729041" s="34"/>
      <c r="AF729041" s="34"/>
    </row>
    <row r="729049" spans="31:32" x14ac:dyDescent="0.25">
      <c r="AE729049" s="36"/>
      <c r="AF729049" s="36"/>
    </row>
    <row r="729145" spans="31:32" x14ac:dyDescent="0.25">
      <c r="AE729145" s="34"/>
      <c r="AF729145" s="34"/>
    </row>
    <row r="729153" spans="31:32" x14ac:dyDescent="0.25">
      <c r="AE729153" s="36"/>
      <c r="AF729153" s="36"/>
    </row>
    <row r="729249" spans="31:32" x14ac:dyDescent="0.25">
      <c r="AE729249" s="34"/>
      <c r="AF729249" s="34"/>
    </row>
    <row r="729257" spans="31:32" x14ac:dyDescent="0.25">
      <c r="AE729257" s="36"/>
      <c r="AF729257" s="36"/>
    </row>
    <row r="729353" spans="31:32" x14ac:dyDescent="0.25">
      <c r="AE729353" s="34"/>
      <c r="AF729353" s="34"/>
    </row>
    <row r="729361" spans="31:32" x14ac:dyDescent="0.25">
      <c r="AE729361" s="36"/>
      <c r="AF729361" s="36"/>
    </row>
    <row r="729457" spans="31:32" x14ac:dyDescent="0.25">
      <c r="AE729457" s="34"/>
      <c r="AF729457" s="34"/>
    </row>
    <row r="729465" spans="31:32" x14ac:dyDescent="0.25">
      <c r="AE729465" s="36"/>
      <c r="AF729465" s="36"/>
    </row>
    <row r="729561" spans="31:32" x14ac:dyDescent="0.25">
      <c r="AE729561" s="34"/>
      <c r="AF729561" s="34"/>
    </row>
    <row r="729569" spans="31:32" x14ac:dyDescent="0.25">
      <c r="AE729569" s="36"/>
      <c r="AF729569" s="36"/>
    </row>
    <row r="729665" spans="31:32" x14ac:dyDescent="0.25">
      <c r="AE729665" s="34"/>
      <c r="AF729665" s="34"/>
    </row>
    <row r="729673" spans="31:32" x14ac:dyDescent="0.25">
      <c r="AE729673" s="36"/>
      <c r="AF729673" s="36"/>
    </row>
    <row r="729769" spans="31:32" x14ac:dyDescent="0.25">
      <c r="AE729769" s="34"/>
      <c r="AF729769" s="34"/>
    </row>
    <row r="729777" spans="31:32" x14ac:dyDescent="0.25">
      <c r="AE729777" s="36"/>
      <c r="AF729777" s="36"/>
    </row>
    <row r="729873" spans="31:32" x14ac:dyDescent="0.25">
      <c r="AE729873" s="34"/>
      <c r="AF729873" s="34"/>
    </row>
    <row r="729881" spans="31:32" x14ac:dyDescent="0.25">
      <c r="AE729881" s="36"/>
      <c r="AF729881" s="36"/>
    </row>
    <row r="729977" spans="31:32" x14ac:dyDescent="0.25">
      <c r="AE729977" s="34"/>
      <c r="AF729977" s="34"/>
    </row>
    <row r="729985" spans="31:32" x14ac:dyDescent="0.25">
      <c r="AE729985" s="36"/>
      <c r="AF729985" s="36"/>
    </row>
    <row r="730081" spans="31:32" x14ac:dyDescent="0.25">
      <c r="AE730081" s="34"/>
      <c r="AF730081" s="34"/>
    </row>
    <row r="730089" spans="31:32" x14ac:dyDescent="0.25">
      <c r="AE730089" s="36"/>
      <c r="AF730089" s="36"/>
    </row>
    <row r="730185" spans="31:32" x14ac:dyDescent="0.25">
      <c r="AE730185" s="34"/>
      <c r="AF730185" s="34"/>
    </row>
    <row r="730193" spans="31:32" x14ac:dyDescent="0.25">
      <c r="AE730193" s="36"/>
      <c r="AF730193" s="36"/>
    </row>
    <row r="730289" spans="31:32" x14ac:dyDescent="0.25">
      <c r="AE730289" s="34"/>
      <c r="AF730289" s="34"/>
    </row>
    <row r="730297" spans="31:32" x14ac:dyDescent="0.25">
      <c r="AE730297" s="36"/>
      <c r="AF730297" s="36"/>
    </row>
    <row r="730393" spans="31:32" x14ac:dyDescent="0.25">
      <c r="AE730393" s="34"/>
      <c r="AF730393" s="34"/>
    </row>
    <row r="730401" spans="31:32" x14ac:dyDescent="0.25">
      <c r="AE730401" s="36"/>
      <c r="AF730401" s="36"/>
    </row>
    <row r="730497" spans="31:32" x14ac:dyDescent="0.25">
      <c r="AE730497" s="34"/>
      <c r="AF730497" s="34"/>
    </row>
    <row r="730505" spans="31:32" x14ac:dyDescent="0.25">
      <c r="AE730505" s="36"/>
      <c r="AF730505" s="36"/>
    </row>
    <row r="730601" spans="31:32" x14ac:dyDescent="0.25">
      <c r="AE730601" s="34"/>
      <c r="AF730601" s="34"/>
    </row>
    <row r="730609" spans="31:32" x14ac:dyDescent="0.25">
      <c r="AE730609" s="36"/>
      <c r="AF730609" s="36"/>
    </row>
    <row r="730705" spans="31:32" x14ac:dyDescent="0.25">
      <c r="AE730705" s="34"/>
      <c r="AF730705" s="34"/>
    </row>
    <row r="730713" spans="31:32" x14ac:dyDescent="0.25">
      <c r="AE730713" s="36"/>
      <c r="AF730713" s="36"/>
    </row>
    <row r="730809" spans="31:32" x14ac:dyDescent="0.25">
      <c r="AE730809" s="34"/>
      <c r="AF730809" s="34"/>
    </row>
    <row r="730817" spans="31:32" x14ac:dyDescent="0.25">
      <c r="AE730817" s="36"/>
      <c r="AF730817" s="36"/>
    </row>
    <row r="730913" spans="31:32" x14ac:dyDescent="0.25">
      <c r="AE730913" s="34"/>
      <c r="AF730913" s="34"/>
    </row>
    <row r="730921" spans="31:32" x14ac:dyDescent="0.25">
      <c r="AE730921" s="36"/>
      <c r="AF730921" s="36"/>
    </row>
    <row r="731017" spans="31:32" x14ac:dyDescent="0.25">
      <c r="AE731017" s="34"/>
      <c r="AF731017" s="34"/>
    </row>
    <row r="731025" spans="31:32" x14ac:dyDescent="0.25">
      <c r="AE731025" s="36"/>
      <c r="AF731025" s="36"/>
    </row>
    <row r="731121" spans="31:32" x14ac:dyDescent="0.25">
      <c r="AE731121" s="34"/>
      <c r="AF731121" s="34"/>
    </row>
    <row r="731129" spans="31:32" x14ac:dyDescent="0.25">
      <c r="AE731129" s="36"/>
      <c r="AF731129" s="36"/>
    </row>
    <row r="731225" spans="31:32" x14ac:dyDescent="0.25">
      <c r="AE731225" s="34"/>
      <c r="AF731225" s="34"/>
    </row>
    <row r="731233" spans="31:32" x14ac:dyDescent="0.25">
      <c r="AE731233" s="36"/>
      <c r="AF731233" s="36"/>
    </row>
    <row r="731329" spans="31:32" x14ac:dyDescent="0.25">
      <c r="AE731329" s="34"/>
      <c r="AF731329" s="34"/>
    </row>
    <row r="731337" spans="31:32" x14ac:dyDescent="0.25">
      <c r="AE731337" s="36"/>
      <c r="AF731337" s="36"/>
    </row>
    <row r="731433" spans="31:32" x14ac:dyDescent="0.25">
      <c r="AE731433" s="34"/>
      <c r="AF731433" s="34"/>
    </row>
    <row r="731441" spans="31:32" x14ac:dyDescent="0.25">
      <c r="AE731441" s="36"/>
      <c r="AF731441" s="36"/>
    </row>
    <row r="731537" spans="31:32" x14ac:dyDescent="0.25">
      <c r="AE731537" s="34"/>
      <c r="AF731537" s="34"/>
    </row>
    <row r="731545" spans="31:32" x14ac:dyDescent="0.25">
      <c r="AE731545" s="36"/>
      <c r="AF731545" s="36"/>
    </row>
    <row r="731641" spans="31:32" x14ac:dyDescent="0.25">
      <c r="AE731641" s="34"/>
      <c r="AF731641" s="34"/>
    </row>
    <row r="731649" spans="31:32" x14ac:dyDescent="0.25">
      <c r="AE731649" s="36"/>
      <c r="AF731649" s="36"/>
    </row>
    <row r="731745" spans="31:32" x14ac:dyDescent="0.25">
      <c r="AE731745" s="34"/>
      <c r="AF731745" s="34"/>
    </row>
    <row r="731753" spans="31:32" x14ac:dyDescent="0.25">
      <c r="AE731753" s="36"/>
      <c r="AF731753" s="36"/>
    </row>
    <row r="731849" spans="31:32" x14ac:dyDescent="0.25">
      <c r="AE731849" s="34"/>
      <c r="AF731849" s="34"/>
    </row>
    <row r="731857" spans="31:32" x14ac:dyDescent="0.25">
      <c r="AE731857" s="36"/>
      <c r="AF731857" s="36"/>
    </row>
    <row r="731953" spans="31:32" x14ac:dyDescent="0.25">
      <c r="AE731953" s="34"/>
      <c r="AF731953" s="34"/>
    </row>
    <row r="731961" spans="31:32" x14ac:dyDescent="0.25">
      <c r="AE731961" s="36"/>
      <c r="AF731961" s="36"/>
    </row>
    <row r="732057" spans="31:32" x14ac:dyDescent="0.25">
      <c r="AE732057" s="34"/>
      <c r="AF732057" s="34"/>
    </row>
    <row r="732065" spans="31:32" x14ac:dyDescent="0.25">
      <c r="AE732065" s="36"/>
      <c r="AF732065" s="36"/>
    </row>
    <row r="732161" spans="31:32" x14ac:dyDescent="0.25">
      <c r="AE732161" s="34"/>
      <c r="AF732161" s="34"/>
    </row>
    <row r="732169" spans="31:32" x14ac:dyDescent="0.25">
      <c r="AE732169" s="36"/>
      <c r="AF732169" s="36"/>
    </row>
    <row r="732265" spans="31:32" x14ac:dyDescent="0.25">
      <c r="AE732265" s="34"/>
      <c r="AF732265" s="34"/>
    </row>
    <row r="732273" spans="31:32" x14ac:dyDescent="0.25">
      <c r="AE732273" s="36"/>
      <c r="AF732273" s="36"/>
    </row>
    <row r="732369" spans="31:32" x14ac:dyDescent="0.25">
      <c r="AE732369" s="34"/>
      <c r="AF732369" s="34"/>
    </row>
    <row r="732377" spans="31:32" x14ac:dyDescent="0.25">
      <c r="AE732377" s="36"/>
      <c r="AF732377" s="36"/>
    </row>
    <row r="732473" spans="31:32" x14ac:dyDescent="0.25">
      <c r="AE732473" s="34"/>
      <c r="AF732473" s="34"/>
    </row>
    <row r="732481" spans="31:32" x14ac:dyDescent="0.25">
      <c r="AE732481" s="36"/>
      <c r="AF732481" s="36"/>
    </row>
    <row r="732577" spans="31:32" x14ac:dyDescent="0.25">
      <c r="AE732577" s="34"/>
      <c r="AF732577" s="34"/>
    </row>
    <row r="732585" spans="31:32" x14ac:dyDescent="0.25">
      <c r="AE732585" s="36"/>
      <c r="AF732585" s="36"/>
    </row>
    <row r="732681" spans="31:32" x14ac:dyDescent="0.25">
      <c r="AE732681" s="34"/>
      <c r="AF732681" s="34"/>
    </row>
    <row r="732689" spans="31:32" x14ac:dyDescent="0.25">
      <c r="AE732689" s="36"/>
      <c r="AF732689" s="36"/>
    </row>
    <row r="732785" spans="31:32" x14ac:dyDescent="0.25">
      <c r="AE732785" s="34"/>
      <c r="AF732785" s="34"/>
    </row>
    <row r="732793" spans="31:32" x14ac:dyDescent="0.25">
      <c r="AE732793" s="36"/>
      <c r="AF732793" s="36"/>
    </row>
    <row r="732889" spans="31:32" x14ac:dyDescent="0.25">
      <c r="AE732889" s="34"/>
      <c r="AF732889" s="34"/>
    </row>
    <row r="732897" spans="31:32" x14ac:dyDescent="0.25">
      <c r="AE732897" s="36"/>
      <c r="AF732897" s="36"/>
    </row>
    <row r="732993" spans="31:32" x14ac:dyDescent="0.25">
      <c r="AE732993" s="34"/>
      <c r="AF732993" s="34"/>
    </row>
    <row r="733001" spans="31:32" x14ac:dyDescent="0.25">
      <c r="AE733001" s="36"/>
      <c r="AF733001" s="36"/>
    </row>
    <row r="733097" spans="31:32" x14ac:dyDescent="0.25">
      <c r="AE733097" s="34"/>
      <c r="AF733097" s="34"/>
    </row>
    <row r="733105" spans="31:32" x14ac:dyDescent="0.25">
      <c r="AE733105" s="36"/>
      <c r="AF733105" s="36"/>
    </row>
    <row r="733201" spans="31:32" x14ac:dyDescent="0.25">
      <c r="AE733201" s="34"/>
      <c r="AF733201" s="34"/>
    </row>
    <row r="733209" spans="31:32" x14ac:dyDescent="0.25">
      <c r="AE733209" s="36"/>
      <c r="AF733209" s="36"/>
    </row>
    <row r="733305" spans="31:32" x14ac:dyDescent="0.25">
      <c r="AE733305" s="34"/>
      <c r="AF733305" s="34"/>
    </row>
    <row r="733313" spans="31:32" x14ac:dyDescent="0.25">
      <c r="AE733313" s="36"/>
      <c r="AF733313" s="36"/>
    </row>
    <row r="733409" spans="31:32" x14ac:dyDescent="0.25">
      <c r="AE733409" s="34"/>
      <c r="AF733409" s="34"/>
    </row>
    <row r="733417" spans="31:32" x14ac:dyDescent="0.25">
      <c r="AE733417" s="36"/>
      <c r="AF733417" s="36"/>
    </row>
    <row r="733513" spans="31:32" x14ac:dyDescent="0.25">
      <c r="AE733513" s="34"/>
      <c r="AF733513" s="34"/>
    </row>
    <row r="733521" spans="31:32" x14ac:dyDescent="0.25">
      <c r="AE733521" s="36"/>
      <c r="AF733521" s="36"/>
    </row>
    <row r="733617" spans="31:32" x14ac:dyDescent="0.25">
      <c r="AE733617" s="34"/>
      <c r="AF733617" s="34"/>
    </row>
    <row r="733625" spans="31:32" x14ac:dyDescent="0.25">
      <c r="AE733625" s="36"/>
      <c r="AF733625" s="36"/>
    </row>
    <row r="733721" spans="31:32" x14ac:dyDescent="0.25">
      <c r="AE733721" s="34"/>
      <c r="AF733721" s="34"/>
    </row>
    <row r="733729" spans="31:32" x14ac:dyDescent="0.25">
      <c r="AE733729" s="36"/>
      <c r="AF733729" s="36"/>
    </row>
    <row r="733825" spans="31:32" x14ac:dyDescent="0.25">
      <c r="AE733825" s="34"/>
      <c r="AF733825" s="34"/>
    </row>
    <row r="733833" spans="31:32" x14ac:dyDescent="0.25">
      <c r="AE733833" s="36"/>
      <c r="AF733833" s="36"/>
    </row>
    <row r="733929" spans="31:32" x14ac:dyDescent="0.25">
      <c r="AE733929" s="34"/>
      <c r="AF733929" s="34"/>
    </row>
    <row r="733937" spans="31:32" x14ac:dyDescent="0.25">
      <c r="AE733937" s="36"/>
      <c r="AF733937" s="36"/>
    </row>
    <row r="734033" spans="31:32" x14ac:dyDescent="0.25">
      <c r="AE734033" s="34"/>
      <c r="AF734033" s="34"/>
    </row>
    <row r="734041" spans="31:32" x14ac:dyDescent="0.25">
      <c r="AE734041" s="36"/>
      <c r="AF734041" s="36"/>
    </row>
    <row r="734137" spans="31:32" x14ac:dyDescent="0.25">
      <c r="AE734137" s="34"/>
      <c r="AF734137" s="34"/>
    </row>
    <row r="734145" spans="31:32" x14ac:dyDescent="0.25">
      <c r="AE734145" s="36"/>
      <c r="AF734145" s="36"/>
    </row>
    <row r="734241" spans="31:32" x14ac:dyDescent="0.25">
      <c r="AE734241" s="34"/>
      <c r="AF734241" s="34"/>
    </row>
    <row r="734249" spans="31:32" x14ac:dyDescent="0.25">
      <c r="AE734249" s="36"/>
      <c r="AF734249" s="36"/>
    </row>
    <row r="734345" spans="31:32" x14ac:dyDescent="0.25">
      <c r="AE734345" s="34"/>
      <c r="AF734345" s="34"/>
    </row>
    <row r="734353" spans="31:32" x14ac:dyDescent="0.25">
      <c r="AE734353" s="36"/>
      <c r="AF734353" s="36"/>
    </row>
    <row r="734449" spans="31:32" x14ac:dyDescent="0.25">
      <c r="AE734449" s="34"/>
      <c r="AF734449" s="34"/>
    </row>
    <row r="734457" spans="31:32" x14ac:dyDescent="0.25">
      <c r="AE734457" s="36"/>
      <c r="AF734457" s="36"/>
    </row>
    <row r="734553" spans="31:32" x14ac:dyDescent="0.25">
      <c r="AE734553" s="34"/>
      <c r="AF734553" s="34"/>
    </row>
    <row r="734561" spans="31:32" x14ac:dyDescent="0.25">
      <c r="AE734561" s="36"/>
      <c r="AF734561" s="36"/>
    </row>
    <row r="734657" spans="31:32" x14ac:dyDescent="0.25">
      <c r="AE734657" s="34"/>
      <c r="AF734657" s="34"/>
    </row>
    <row r="734665" spans="31:32" x14ac:dyDescent="0.25">
      <c r="AE734665" s="36"/>
      <c r="AF734665" s="36"/>
    </row>
    <row r="734761" spans="31:32" x14ac:dyDescent="0.25">
      <c r="AE734761" s="34"/>
      <c r="AF734761" s="34"/>
    </row>
    <row r="734769" spans="31:32" x14ac:dyDescent="0.25">
      <c r="AE734769" s="36"/>
      <c r="AF734769" s="36"/>
    </row>
    <row r="734865" spans="31:32" x14ac:dyDescent="0.25">
      <c r="AE734865" s="34"/>
      <c r="AF734865" s="34"/>
    </row>
    <row r="734873" spans="31:32" x14ac:dyDescent="0.25">
      <c r="AE734873" s="36"/>
      <c r="AF734873" s="36"/>
    </row>
    <row r="734969" spans="31:32" x14ac:dyDescent="0.25">
      <c r="AE734969" s="34"/>
      <c r="AF734969" s="34"/>
    </row>
    <row r="734977" spans="31:32" x14ac:dyDescent="0.25">
      <c r="AE734977" s="36"/>
      <c r="AF734977" s="36"/>
    </row>
    <row r="735073" spans="31:32" x14ac:dyDescent="0.25">
      <c r="AE735073" s="34"/>
      <c r="AF735073" s="34"/>
    </row>
    <row r="735081" spans="31:32" x14ac:dyDescent="0.25">
      <c r="AE735081" s="36"/>
      <c r="AF735081" s="36"/>
    </row>
    <row r="735177" spans="31:32" x14ac:dyDescent="0.25">
      <c r="AE735177" s="34"/>
      <c r="AF735177" s="34"/>
    </row>
    <row r="735185" spans="31:32" x14ac:dyDescent="0.25">
      <c r="AE735185" s="36"/>
      <c r="AF735185" s="36"/>
    </row>
    <row r="735281" spans="31:32" x14ac:dyDescent="0.25">
      <c r="AE735281" s="34"/>
      <c r="AF735281" s="34"/>
    </row>
    <row r="735289" spans="31:32" x14ac:dyDescent="0.25">
      <c r="AE735289" s="36"/>
      <c r="AF735289" s="36"/>
    </row>
    <row r="735385" spans="31:32" x14ac:dyDescent="0.25">
      <c r="AE735385" s="34"/>
      <c r="AF735385" s="34"/>
    </row>
    <row r="735393" spans="31:32" x14ac:dyDescent="0.25">
      <c r="AE735393" s="36"/>
      <c r="AF735393" s="36"/>
    </row>
    <row r="735489" spans="31:32" x14ac:dyDescent="0.25">
      <c r="AE735489" s="34"/>
      <c r="AF735489" s="34"/>
    </row>
    <row r="735497" spans="31:32" x14ac:dyDescent="0.25">
      <c r="AE735497" s="36"/>
      <c r="AF735497" s="36"/>
    </row>
    <row r="735593" spans="31:32" x14ac:dyDescent="0.25">
      <c r="AE735593" s="34"/>
      <c r="AF735593" s="34"/>
    </row>
    <row r="735601" spans="31:32" x14ac:dyDescent="0.25">
      <c r="AE735601" s="36"/>
      <c r="AF735601" s="36"/>
    </row>
    <row r="735697" spans="31:32" x14ac:dyDescent="0.25">
      <c r="AE735697" s="34"/>
      <c r="AF735697" s="34"/>
    </row>
    <row r="735705" spans="31:32" x14ac:dyDescent="0.25">
      <c r="AE735705" s="36"/>
      <c r="AF735705" s="36"/>
    </row>
    <row r="735801" spans="31:32" x14ac:dyDescent="0.25">
      <c r="AE735801" s="34"/>
      <c r="AF735801" s="34"/>
    </row>
    <row r="735809" spans="31:32" x14ac:dyDescent="0.25">
      <c r="AE735809" s="36"/>
      <c r="AF735809" s="36"/>
    </row>
    <row r="735905" spans="31:32" x14ac:dyDescent="0.25">
      <c r="AE735905" s="34"/>
      <c r="AF735905" s="34"/>
    </row>
    <row r="735913" spans="31:32" x14ac:dyDescent="0.25">
      <c r="AE735913" s="36"/>
      <c r="AF735913" s="36"/>
    </row>
    <row r="736009" spans="31:32" x14ac:dyDescent="0.25">
      <c r="AE736009" s="34"/>
      <c r="AF736009" s="34"/>
    </row>
    <row r="736017" spans="31:32" x14ac:dyDescent="0.25">
      <c r="AE736017" s="36"/>
      <c r="AF736017" s="36"/>
    </row>
    <row r="736113" spans="31:32" x14ac:dyDescent="0.25">
      <c r="AE736113" s="34"/>
      <c r="AF736113" s="34"/>
    </row>
    <row r="736121" spans="31:32" x14ac:dyDescent="0.25">
      <c r="AE736121" s="36"/>
      <c r="AF736121" s="36"/>
    </row>
    <row r="736217" spans="31:32" x14ac:dyDescent="0.25">
      <c r="AE736217" s="34"/>
      <c r="AF736217" s="34"/>
    </row>
    <row r="736225" spans="31:32" x14ac:dyDescent="0.25">
      <c r="AE736225" s="36"/>
      <c r="AF736225" s="36"/>
    </row>
    <row r="736321" spans="31:32" x14ac:dyDescent="0.25">
      <c r="AE736321" s="34"/>
      <c r="AF736321" s="34"/>
    </row>
    <row r="736329" spans="31:32" x14ac:dyDescent="0.25">
      <c r="AE736329" s="36"/>
      <c r="AF736329" s="36"/>
    </row>
    <row r="736425" spans="31:32" x14ac:dyDescent="0.25">
      <c r="AE736425" s="34"/>
      <c r="AF736425" s="34"/>
    </row>
    <row r="736433" spans="31:32" x14ac:dyDescent="0.25">
      <c r="AE736433" s="36"/>
      <c r="AF736433" s="36"/>
    </row>
    <row r="736529" spans="31:32" x14ac:dyDescent="0.25">
      <c r="AE736529" s="34"/>
      <c r="AF736529" s="34"/>
    </row>
    <row r="736537" spans="31:32" x14ac:dyDescent="0.25">
      <c r="AE736537" s="36"/>
      <c r="AF736537" s="36"/>
    </row>
    <row r="736633" spans="31:32" x14ac:dyDescent="0.25">
      <c r="AE736633" s="34"/>
      <c r="AF736633" s="34"/>
    </row>
    <row r="736641" spans="31:32" x14ac:dyDescent="0.25">
      <c r="AE736641" s="36"/>
      <c r="AF736641" s="36"/>
    </row>
    <row r="736737" spans="31:32" x14ac:dyDescent="0.25">
      <c r="AE736737" s="34"/>
      <c r="AF736737" s="34"/>
    </row>
    <row r="736745" spans="31:32" x14ac:dyDescent="0.25">
      <c r="AE736745" s="36"/>
      <c r="AF736745" s="36"/>
    </row>
    <row r="736841" spans="31:32" x14ac:dyDescent="0.25">
      <c r="AE736841" s="34"/>
      <c r="AF736841" s="34"/>
    </row>
    <row r="736849" spans="31:32" x14ac:dyDescent="0.25">
      <c r="AE736849" s="36"/>
      <c r="AF736849" s="36"/>
    </row>
    <row r="736945" spans="31:32" x14ac:dyDescent="0.25">
      <c r="AE736945" s="34"/>
      <c r="AF736945" s="34"/>
    </row>
    <row r="736953" spans="31:32" x14ac:dyDescent="0.25">
      <c r="AE736953" s="36"/>
      <c r="AF736953" s="36"/>
    </row>
    <row r="737049" spans="31:32" x14ac:dyDescent="0.25">
      <c r="AE737049" s="34"/>
      <c r="AF737049" s="34"/>
    </row>
    <row r="737057" spans="31:32" x14ac:dyDescent="0.25">
      <c r="AE737057" s="36"/>
      <c r="AF737057" s="36"/>
    </row>
    <row r="737153" spans="31:32" x14ac:dyDescent="0.25">
      <c r="AE737153" s="34"/>
      <c r="AF737153" s="34"/>
    </row>
    <row r="737161" spans="31:32" x14ac:dyDescent="0.25">
      <c r="AE737161" s="36"/>
      <c r="AF737161" s="36"/>
    </row>
    <row r="737257" spans="31:32" x14ac:dyDescent="0.25">
      <c r="AE737257" s="34"/>
      <c r="AF737257" s="34"/>
    </row>
    <row r="737265" spans="31:32" x14ac:dyDescent="0.25">
      <c r="AE737265" s="36"/>
      <c r="AF737265" s="36"/>
    </row>
    <row r="737361" spans="31:32" x14ac:dyDescent="0.25">
      <c r="AE737361" s="34"/>
      <c r="AF737361" s="34"/>
    </row>
    <row r="737369" spans="31:32" x14ac:dyDescent="0.25">
      <c r="AE737369" s="36"/>
      <c r="AF737369" s="36"/>
    </row>
    <row r="737465" spans="31:32" x14ac:dyDescent="0.25">
      <c r="AE737465" s="34"/>
      <c r="AF737465" s="34"/>
    </row>
    <row r="737473" spans="31:32" x14ac:dyDescent="0.25">
      <c r="AE737473" s="36"/>
      <c r="AF737473" s="36"/>
    </row>
    <row r="737569" spans="31:32" x14ac:dyDescent="0.25">
      <c r="AE737569" s="34"/>
      <c r="AF737569" s="34"/>
    </row>
    <row r="737577" spans="31:32" x14ac:dyDescent="0.25">
      <c r="AE737577" s="36"/>
      <c r="AF737577" s="36"/>
    </row>
    <row r="737673" spans="31:32" x14ac:dyDescent="0.25">
      <c r="AE737673" s="34"/>
      <c r="AF737673" s="34"/>
    </row>
    <row r="737681" spans="31:32" x14ac:dyDescent="0.25">
      <c r="AE737681" s="36"/>
      <c r="AF737681" s="36"/>
    </row>
    <row r="737777" spans="31:32" x14ac:dyDescent="0.25">
      <c r="AE737777" s="34"/>
      <c r="AF737777" s="34"/>
    </row>
    <row r="737785" spans="31:32" x14ac:dyDescent="0.25">
      <c r="AE737785" s="36"/>
      <c r="AF737785" s="36"/>
    </row>
    <row r="737881" spans="31:32" x14ac:dyDescent="0.25">
      <c r="AE737881" s="34"/>
      <c r="AF737881" s="34"/>
    </row>
    <row r="737889" spans="31:32" x14ac:dyDescent="0.25">
      <c r="AE737889" s="36"/>
      <c r="AF737889" s="36"/>
    </row>
    <row r="737985" spans="31:32" x14ac:dyDescent="0.25">
      <c r="AE737985" s="34"/>
      <c r="AF737985" s="34"/>
    </row>
    <row r="737993" spans="31:32" x14ac:dyDescent="0.25">
      <c r="AE737993" s="36"/>
      <c r="AF737993" s="36"/>
    </row>
    <row r="738089" spans="31:32" x14ac:dyDescent="0.25">
      <c r="AE738089" s="34"/>
      <c r="AF738089" s="34"/>
    </row>
    <row r="738097" spans="31:32" x14ac:dyDescent="0.25">
      <c r="AE738097" s="36"/>
      <c r="AF738097" s="36"/>
    </row>
    <row r="738193" spans="31:32" x14ac:dyDescent="0.25">
      <c r="AE738193" s="34"/>
      <c r="AF738193" s="34"/>
    </row>
    <row r="738201" spans="31:32" x14ac:dyDescent="0.25">
      <c r="AE738201" s="36"/>
      <c r="AF738201" s="36"/>
    </row>
    <row r="738297" spans="31:32" x14ac:dyDescent="0.25">
      <c r="AE738297" s="34"/>
      <c r="AF738297" s="34"/>
    </row>
    <row r="738305" spans="31:32" x14ac:dyDescent="0.25">
      <c r="AE738305" s="36"/>
      <c r="AF738305" s="36"/>
    </row>
    <row r="738401" spans="31:32" x14ac:dyDescent="0.25">
      <c r="AE738401" s="34"/>
      <c r="AF738401" s="34"/>
    </row>
    <row r="738409" spans="31:32" x14ac:dyDescent="0.25">
      <c r="AE738409" s="36"/>
      <c r="AF738409" s="36"/>
    </row>
    <row r="738505" spans="31:32" x14ac:dyDescent="0.25">
      <c r="AE738505" s="34"/>
      <c r="AF738505" s="34"/>
    </row>
    <row r="738513" spans="31:32" x14ac:dyDescent="0.25">
      <c r="AE738513" s="36"/>
      <c r="AF738513" s="36"/>
    </row>
    <row r="738609" spans="31:32" x14ac:dyDescent="0.25">
      <c r="AE738609" s="34"/>
      <c r="AF738609" s="34"/>
    </row>
    <row r="738617" spans="31:32" x14ac:dyDescent="0.25">
      <c r="AE738617" s="36"/>
      <c r="AF738617" s="36"/>
    </row>
    <row r="738713" spans="31:32" x14ac:dyDescent="0.25">
      <c r="AE738713" s="34"/>
      <c r="AF738713" s="34"/>
    </row>
    <row r="738721" spans="31:32" x14ac:dyDescent="0.25">
      <c r="AE738721" s="36"/>
      <c r="AF738721" s="36"/>
    </row>
    <row r="738817" spans="31:32" x14ac:dyDescent="0.25">
      <c r="AE738817" s="34"/>
      <c r="AF738817" s="34"/>
    </row>
    <row r="738825" spans="31:32" x14ac:dyDescent="0.25">
      <c r="AE738825" s="36"/>
      <c r="AF738825" s="36"/>
    </row>
    <row r="738921" spans="31:32" x14ac:dyDescent="0.25">
      <c r="AE738921" s="34"/>
      <c r="AF738921" s="34"/>
    </row>
    <row r="738929" spans="31:32" x14ac:dyDescent="0.25">
      <c r="AE738929" s="36"/>
      <c r="AF738929" s="36"/>
    </row>
    <row r="739025" spans="31:32" x14ac:dyDescent="0.25">
      <c r="AE739025" s="34"/>
      <c r="AF739025" s="34"/>
    </row>
    <row r="739033" spans="31:32" x14ac:dyDescent="0.25">
      <c r="AE739033" s="36"/>
      <c r="AF739033" s="36"/>
    </row>
    <row r="739129" spans="31:32" x14ac:dyDescent="0.25">
      <c r="AE739129" s="34"/>
      <c r="AF739129" s="34"/>
    </row>
    <row r="739137" spans="31:32" x14ac:dyDescent="0.25">
      <c r="AE739137" s="36"/>
      <c r="AF739137" s="36"/>
    </row>
    <row r="739233" spans="31:32" x14ac:dyDescent="0.25">
      <c r="AE739233" s="34"/>
      <c r="AF739233" s="34"/>
    </row>
    <row r="739241" spans="31:32" x14ac:dyDescent="0.25">
      <c r="AE739241" s="36"/>
      <c r="AF739241" s="36"/>
    </row>
    <row r="739337" spans="31:32" x14ac:dyDescent="0.25">
      <c r="AE739337" s="34"/>
      <c r="AF739337" s="34"/>
    </row>
    <row r="739345" spans="31:32" x14ac:dyDescent="0.25">
      <c r="AE739345" s="36"/>
      <c r="AF739345" s="36"/>
    </row>
    <row r="739441" spans="31:32" x14ac:dyDescent="0.25">
      <c r="AE739441" s="34"/>
      <c r="AF739441" s="34"/>
    </row>
    <row r="739449" spans="31:32" x14ac:dyDescent="0.25">
      <c r="AE739449" s="36"/>
      <c r="AF739449" s="36"/>
    </row>
    <row r="739545" spans="31:32" x14ac:dyDescent="0.25">
      <c r="AE739545" s="34"/>
      <c r="AF739545" s="34"/>
    </row>
    <row r="739553" spans="31:32" x14ac:dyDescent="0.25">
      <c r="AE739553" s="36"/>
      <c r="AF739553" s="36"/>
    </row>
    <row r="739649" spans="31:32" x14ac:dyDescent="0.25">
      <c r="AE739649" s="34"/>
      <c r="AF739649" s="34"/>
    </row>
    <row r="739657" spans="31:32" x14ac:dyDescent="0.25">
      <c r="AE739657" s="36"/>
      <c r="AF739657" s="36"/>
    </row>
    <row r="739753" spans="31:32" x14ac:dyDescent="0.25">
      <c r="AE739753" s="34"/>
      <c r="AF739753" s="34"/>
    </row>
    <row r="739761" spans="31:32" x14ac:dyDescent="0.25">
      <c r="AE739761" s="36"/>
      <c r="AF739761" s="36"/>
    </row>
    <row r="739857" spans="31:32" x14ac:dyDescent="0.25">
      <c r="AE739857" s="34"/>
      <c r="AF739857" s="34"/>
    </row>
    <row r="739865" spans="31:32" x14ac:dyDescent="0.25">
      <c r="AE739865" s="36"/>
      <c r="AF739865" s="36"/>
    </row>
    <row r="739961" spans="31:32" x14ac:dyDescent="0.25">
      <c r="AE739961" s="34"/>
      <c r="AF739961" s="34"/>
    </row>
    <row r="739969" spans="31:32" x14ac:dyDescent="0.25">
      <c r="AE739969" s="36"/>
      <c r="AF739969" s="36"/>
    </row>
    <row r="740065" spans="31:32" x14ac:dyDescent="0.25">
      <c r="AE740065" s="34"/>
      <c r="AF740065" s="34"/>
    </row>
    <row r="740073" spans="31:32" x14ac:dyDescent="0.25">
      <c r="AE740073" s="36"/>
      <c r="AF740073" s="36"/>
    </row>
    <row r="740169" spans="31:32" x14ac:dyDescent="0.25">
      <c r="AE740169" s="34"/>
      <c r="AF740169" s="34"/>
    </row>
    <row r="740177" spans="31:32" x14ac:dyDescent="0.25">
      <c r="AE740177" s="36"/>
      <c r="AF740177" s="36"/>
    </row>
    <row r="740273" spans="31:32" x14ac:dyDescent="0.25">
      <c r="AE740273" s="34"/>
      <c r="AF740273" s="34"/>
    </row>
    <row r="740281" spans="31:32" x14ac:dyDescent="0.25">
      <c r="AE740281" s="36"/>
      <c r="AF740281" s="36"/>
    </row>
    <row r="740377" spans="31:32" x14ac:dyDescent="0.25">
      <c r="AE740377" s="34"/>
      <c r="AF740377" s="34"/>
    </row>
    <row r="740385" spans="31:32" x14ac:dyDescent="0.25">
      <c r="AE740385" s="36"/>
      <c r="AF740385" s="36"/>
    </row>
    <row r="740481" spans="31:32" x14ac:dyDescent="0.25">
      <c r="AE740481" s="34"/>
      <c r="AF740481" s="34"/>
    </row>
    <row r="740489" spans="31:32" x14ac:dyDescent="0.25">
      <c r="AE740489" s="36"/>
      <c r="AF740489" s="36"/>
    </row>
    <row r="740585" spans="31:32" x14ac:dyDescent="0.25">
      <c r="AE740585" s="34"/>
      <c r="AF740585" s="34"/>
    </row>
    <row r="740593" spans="31:32" x14ac:dyDescent="0.25">
      <c r="AE740593" s="36"/>
      <c r="AF740593" s="36"/>
    </row>
    <row r="740689" spans="31:32" x14ac:dyDescent="0.25">
      <c r="AE740689" s="34"/>
      <c r="AF740689" s="34"/>
    </row>
    <row r="740697" spans="31:32" x14ac:dyDescent="0.25">
      <c r="AE740697" s="36"/>
      <c r="AF740697" s="36"/>
    </row>
    <row r="740793" spans="31:32" x14ac:dyDescent="0.25">
      <c r="AE740793" s="34"/>
      <c r="AF740793" s="34"/>
    </row>
    <row r="740801" spans="31:32" x14ac:dyDescent="0.25">
      <c r="AE740801" s="36"/>
      <c r="AF740801" s="36"/>
    </row>
    <row r="740897" spans="31:32" x14ac:dyDescent="0.25">
      <c r="AE740897" s="34"/>
      <c r="AF740897" s="34"/>
    </row>
    <row r="740905" spans="31:32" x14ac:dyDescent="0.25">
      <c r="AE740905" s="36"/>
      <c r="AF740905" s="36"/>
    </row>
    <row r="741001" spans="31:32" x14ac:dyDescent="0.25">
      <c r="AE741001" s="34"/>
      <c r="AF741001" s="34"/>
    </row>
    <row r="741009" spans="31:32" x14ac:dyDescent="0.25">
      <c r="AE741009" s="36"/>
      <c r="AF741009" s="36"/>
    </row>
    <row r="741105" spans="31:32" x14ac:dyDescent="0.25">
      <c r="AE741105" s="34"/>
      <c r="AF741105" s="34"/>
    </row>
    <row r="741113" spans="31:32" x14ac:dyDescent="0.25">
      <c r="AE741113" s="36"/>
      <c r="AF741113" s="36"/>
    </row>
    <row r="741209" spans="31:32" x14ac:dyDescent="0.25">
      <c r="AE741209" s="34"/>
      <c r="AF741209" s="34"/>
    </row>
    <row r="741217" spans="31:32" x14ac:dyDescent="0.25">
      <c r="AE741217" s="36"/>
      <c r="AF741217" s="36"/>
    </row>
    <row r="741313" spans="31:32" x14ac:dyDescent="0.25">
      <c r="AE741313" s="34"/>
      <c r="AF741313" s="34"/>
    </row>
    <row r="741321" spans="31:32" x14ac:dyDescent="0.25">
      <c r="AE741321" s="36"/>
      <c r="AF741321" s="36"/>
    </row>
    <row r="741417" spans="31:32" x14ac:dyDescent="0.25">
      <c r="AE741417" s="34"/>
      <c r="AF741417" s="34"/>
    </row>
    <row r="741425" spans="31:32" x14ac:dyDescent="0.25">
      <c r="AE741425" s="36"/>
      <c r="AF741425" s="36"/>
    </row>
    <row r="741521" spans="31:32" x14ac:dyDescent="0.25">
      <c r="AE741521" s="34"/>
      <c r="AF741521" s="34"/>
    </row>
    <row r="741529" spans="31:32" x14ac:dyDescent="0.25">
      <c r="AE741529" s="36"/>
      <c r="AF741529" s="36"/>
    </row>
    <row r="741625" spans="31:32" x14ac:dyDescent="0.25">
      <c r="AE741625" s="34"/>
      <c r="AF741625" s="34"/>
    </row>
    <row r="741633" spans="31:32" x14ac:dyDescent="0.25">
      <c r="AE741633" s="36"/>
      <c r="AF741633" s="36"/>
    </row>
    <row r="741729" spans="31:32" x14ac:dyDescent="0.25">
      <c r="AE741729" s="34"/>
      <c r="AF741729" s="34"/>
    </row>
    <row r="741737" spans="31:32" x14ac:dyDescent="0.25">
      <c r="AE741737" s="36"/>
      <c r="AF741737" s="36"/>
    </row>
    <row r="741833" spans="31:32" x14ac:dyDescent="0.25">
      <c r="AE741833" s="34"/>
      <c r="AF741833" s="34"/>
    </row>
    <row r="741841" spans="31:32" x14ac:dyDescent="0.25">
      <c r="AE741841" s="36"/>
      <c r="AF741841" s="36"/>
    </row>
    <row r="741937" spans="31:32" x14ac:dyDescent="0.25">
      <c r="AE741937" s="34"/>
      <c r="AF741937" s="34"/>
    </row>
    <row r="741945" spans="31:32" x14ac:dyDescent="0.25">
      <c r="AE741945" s="36"/>
      <c r="AF741945" s="36"/>
    </row>
    <row r="742041" spans="31:32" x14ac:dyDescent="0.25">
      <c r="AE742041" s="34"/>
      <c r="AF742041" s="34"/>
    </row>
    <row r="742049" spans="31:32" x14ac:dyDescent="0.25">
      <c r="AE742049" s="36"/>
      <c r="AF742049" s="36"/>
    </row>
    <row r="742145" spans="31:32" x14ac:dyDescent="0.25">
      <c r="AE742145" s="34"/>
      <c r="AF742145" s="34"/>
    </row>
    <row r="742153" spans="31:32" x14ac:dyDescent="0.25">
      <c r="AE742153" s="36"/>
      <c r="AF742153" s="36"/>
    </row>
    <row r="742249" spans="31:32" x14ac:dyDescent="0.25">
      <c r="AE742249" s="34"/>
      <c r="AF742249" s="34"/>
    </row>
    <row r="742257" spans="31:32" x14ac:dyDescent="0.25">
      <c r="AE742257" s="36"/>
      <c r="AF742257" s="36"/>
    </row>
    <row r="742353" spans="31:32" x14ac:dyDescent="0.25">
      <c r="AE742353" s="34"/>
      <c r="AF742353" s="34"/>
    </row>
    <row r="742361" spans="31:32" x14ac:dyDescent="0.25">
      <c r="AE742361" s="36"/>
      <c r="AF742361" s="36"/>
    </row>
    <row r="742457" spans="31:32" x14ac:dyDescent="0.25">
      <c r="AE742457" s="34"/>
      <c r="AF742457" s="34"/>
    </row>
    <row r="742465" spans="31:32" x14ac:dyDescent="0.25">
      <c r="AE742465" s="36"/>
      <c r="AF742465" s="36"/>
    </row>
    <row r="742561" spans="31:32" x14ac:dyDescent="0.25">
      <c r="AE742561" s="34"/>
      <c r="AF742561" s="34"/>
    </row>
    <row r="742569" spans="31:32" x14ac:dyDescent="0.25">
      <c r="AE742569" s="36"/>
      <c r="AF742569" s="36"/>
    </row>
    <row r="742665" spans="31:32" x14ac:dyDescent="0.25">
      <c r="AE742665" s="34"/>
      <c r="AF742665" s="34"/>
    </row>
    <row r="742673" spans="31:32" x14ac:dyDescent="0.25">
      <c r="AE742673" s="36"/>
      <c r="AF742673" s="36"/>
    </row>
    <row r="742769" spans="31:32" x14ac:dyDescent="0.25">
      <c r="AE742769" s="34"/>
      <c r="AF742769" s="34"/>
    </row>
    <row r="742777" spans="31:32" x14ac:dyDescent="0.25">
      <c r="AE742777" s="36"/>
      <c r="AF742777" s="36"/>
    </row>
    <row r="742873" spans="31:32" x14ac:dyDescent="0.25">
      <c r="AE742873" s="34"/>
      <c r="AF742873" s="34"/>
    </row>
    <row r="742881" spans="31:32" x14ac:dyDescent="0.25">
      <c r="AE742881" s="36"/>
      <c r="AF742881" s="36"/>
    </row>
    <row r="742977" spans="31:32" x14ac:dyDescent="0.25">
      <c r="AE742977" s="34"/>
      <c r="AF742977" s="34"/>
    </row>
    <row r="742985" spans="31:32" x14ac:dyDescent="0.25">
      <c r="AE742985" s="36"/>
      <c r="AF742985" s="36"/>
    </row>
    <row r="743081" spans="31:32" x14ac:dyDescent="0.25">
      <c r="AE743081" s="34"/>
      <c r="AF743081" s="34"/>
    </row>
    <row r="743089" spans="31:32" x14ac:dyDescent="0.25">
      <c r="AE743089" s="36"/>
      <c r="AF743089" s="36"/>
    </row>
    <row r="743185" spans="31:32" x14ac:dyDescent="0.25">
      <c r="AE743185" s="34"/>
      <c r="AF743185" s="34"/>
    </row>
    <row r="743193" spans="31:32" x14ac:dyDescent="0.25">
      <c r="AE743193" s="36"/>
      <c r="AF743193" s="36"/>
    </row>
    <row r="743289" spans="31:32" x14ac:dyDescent="0.25">
      <c r="AE743289" s="34"/>
      <c r="AF743289" s="34"/>
    </row>
    <row r="743297" spans="31:32" x14ac:dyDescent="0.25">
      <c r="AE743297" s="36"/>
      <c r="AF743297" s="36"/>
    </row>
    <row r="743393" spans="31:32" x14ac:dyDescent="0.25">
      <c r="AE743393" s="34"/>
      <c r="AF743393" s="34"/>
    </row>
    <row r="743401" spans="31:32" x14ac:dyDescent="0.25">
      <c r="AE743401" s="36"/>
      <c r="AF743401" s="36"/>
    </row>
    <row r="743497" spans="31:32" x14ac:dyDescent="0.25">
      <c r="AE743497" s="34"/>
      <c r="AF743497" s="34"/>
    </row>
    <row r="743505" spans="31:32" x14ac:dyDescent="0.25">
      <c r="AE743505" s="36"/>
      <c r="AF743505" s="36"/>
    </row>
    <row r="743601" spans="31:32" x14ac:dyDescent="0.25">
      <c r="AE743601" s="34"/>
      <c r="AF743601" s="34"/>
    </row>
    <row r="743609" spans="31:32" x14ac:dyDescent="0.25">
      <c r="AE743609" s="36"/>
      <c r="AF743609" s="36"/>
    </row>
    <row r="743705" spans="31:32" x14ac:dyDescent="0.25">
      <c r="AE743705" s="34"/>
      <c r="AF743705" s="34"/>
    </row>
    <row r="743713" spans="31:32" x14ac:dyDescent="0.25">
      <c r="AE743713" s="36"/>
      <c r="AF743713" s="36"/>
    </row>
    <row r="743809" spans="31:32" x14ac:dyDescent="0.25">
      <c r="AE743809" s="34"/>
      <c r="AF743809" s="34"/>
    </row>
    <row r="743817" spans="31:32" x14ac:dyDescent="0.25">
      <c r="AE743817" s="36"/>
      <c r="AF743817" s="36"/>
    </row>
    <row r="743913" spans="31:32" x14ac:dyDescent="0.25">
      <c r="AE743913" s="34"/>
      <c r="AF743913" s="34"/>
    </row>
    <row r="743921" spans="31:32" x14ac:dyDescent="0.25">
      <c r="AE743921" s="36"/>
      <c r="AF743921" s="36"/>
    </row>
    <row r="744017" spans="31:32" x14ac:dyDescent="0.25">
      <c r="AE744017" s="34"/>
      <c r="AF744017" s="34"/>
    </row>
    <row r="744025" spans="31:32" x14ac:dyDescent="0.25">
      <c r="AE744025" s="36"/>
      <c r="AF744025" s="36"/>
    </row>
    <row r="744121" spans="31:32" x14ac:dyDescent="0.25">
      <c r="AE744121" s="34"/>
      <c r="AF744121" s="34"/>
    </row>
    <row r="744129" spans="31:32" x14ac:dyDescent="0.25">
      <c r="AE744129" s="36"/>
      <c r="AF744129" s="36"/>
    </row>
    <row r="744225" spans="31:32" x14ac:dyDescent="0.25">
      <c r="AE744225" s="34"/>
      <c r="AF744225" s="34"/>
    </row>
    <row r="744233" spans="31:32" x14ac:dyDescent="0.25">
      <c r="AE744233" s="36"/>
      <c r="AF744233" s="36"/>
    </row>
    <row r="744329" spans="31:32" x14ac:dyDescent="0.25">
      <c r="AE744329" s="34"/>
      <c r="AF744329" s="34"/>
    </row>
    <row r="744337" spans="31:32" x14ac:dyDescent="0.25">
      <c r="AE744337" s="36"/>
      <c r="AF744337" s="36"/>
    </row>
    <row r="744433" spans="31:32" x14ac:dyDescent="0.25">
      <c r="AE744433" s="34"/>
      <c r="AF744433" s="34"/>
    </row>
    <row r="744441" spans="31:32" x14ac:dyDescent="0.25">
      <c r="AE744441" s="36"/>
      <c r="AF744441" s="36"/>
    </row>
    <row r="744537" spans="31:32" x14ac:dyDescent="0.25">
      <c r="AE744537" s="34"/>
      <c r="AF744537" s="34"/>
    </row>
    <row r="744545" spans="31:32" x14ac:dyDescent="0.25">
      <c r="AE744545" s="36"/>
      <c r="AF744545" s="36"/>
    </row>
    <row r="744641" spans="31:32" x14ac:dyDescent="0.25">
      <c r="AE744641" s="34"/>
      <c r="AF744641" s="34"/>
    </row>
    <row r="744649" spans="31:32" x14ac:dyDescent="0.25">
      <c r="AE744649" s="36"/>
      <c r="AF744649" s="36"/>
    </row>
    <row r="744745" spans="31:32" x14ac:dyDescent="0.25">
      <c r="AE744745" s="34"/>
      <c r="AF744745" s="34"/>
    </row>
    <row r="744753" spans="31:32" x14ac:dyDescent="0.25">
      <c r="AE744753" s="36"/>
      <c r="AF744753" s="36"/>
    </row>
    <row r="744849" spans="31:32" x14ac:dyDescent="0.25">
      <c r="AE744849" s="34"/>
      <c r="AF744849" s="34"/>
    </row>
    <row r="744857" spans="31:32" x14ac:dyDescent="0.25">
      <c r="AE744857" s="36"/>
      <c r="AF744857" s="36"/>
    </row>
    <row r="744953" spans="31:32" x14ac:dyDescent="0.25">
      <c r="AE744953" s="34"/>
      <c r="AF744953" s="34"/>
    </row>
    <row r="744961" spans="31:32" x14ac:dyDescent="0.25">
      <c r="AE744961" s="36"/>
      <c r="AF744961" s="36"/>
    </row>
    <row r="745057" spans="31:32" x14ac:dyDescent="0.25">
      <c r="AE745057" s="34"/>
      <c r="AF745057" s="34"/>
    </row>
    <row r="745065" spans="31:32" x14ac:dyDescent="0.25">
      <c r="AE745065" s="36"/>
      <c r="AF745065" s="36"/>
    </row>
    <row r="745161" spans="31:32" x14ac:dyDescent="0.25">
      <c r="AE745161" s="34"/>
      <c r="AF745161" s="34"/>
    </row>
    <row r="745169" spans="31:32" x14ac:dyDescent="0.25">
      <c r="AE745169" s="36"/>
      <c r="AF745169" s="36"/>
    </row>
    <row r="745265" spans="31:32" x14ac:dyDescent="0.25">
      <c r="AE745265" s="34"/>
      <c r="AF745265" s="34"/>
    </row>
    <row r="745273" spans="31:32" x14ac:dyDescent="0.25">
      <c r="AE745273" s="36"/>
      <c r="AF745273" s="36"/>
    </row>
    <row r="745369" spans="31:32" x14ac:dyDescent="0.25">
      <c r="AE745369" s="34"/>
      <c r="AF745369" s="34"/>
    </row>
    <row r="745377" spans="31:32" x14ac:dyDescent="0.25">
      <c r="AE745377" s="36"/>
      <c r="AF745377" s="36"/>
    </row>
    <row r="745473" spans="31:32" x14ac:dyDescent="0.25">
      <c r="AE745473" s="34"/>
      <c r="AF745473" s="34"/>
    </row>
    <row r="745481" spans="31:32" x14ac:dyDescent="0.25">
      <c r="AE745481" s="36"/>
      <c r="AF745481" s="36"/>
    </row>
    <row r="745577" spans="31:32" x14ac:dyDescent="0.25">
      <c r="AE745577" s="34"/>
      <c r="AF745577" s="34"/>
    </row>
    <row r="745585" spans="31:32" x14ac:dyDescent="0.25">
      <c r="AE745585" s="36"/>
      <c r="AF745585" s="36"/>
    </row>
    <row r="745681" spans="31:32" x14ac:dyDescent="0.25">
      <c r="AE745681" s="34"/>
      <c r="AF745681" s="34"/>
    </row>
    <row r="745689" spans="31:32" x14ac:dyDescent="0.25">
      <c r="AE745689" s="36"/>
      <c r="AF745689" s="36"/>
    </row>
    <row r="745785" spans="31:32" x14ac:dyDescent="0.25">
      <c r="AE745785" s="34"/>
      <c r="AF745785" s="34"/>
    </row>
    <row r="745793" spans="31:32" x14ac:dyDescent="0.25">
      <c r="AE745793" s="36"/>
      <c r="AF745793" s="36"/>
    </row>
    <row r="745889" spans="31:32" x14ac:dyDescent="0.25">
      <c r="AE745889" s="34"/>
      <c r="AF745889" s="34"/>
    </row>
    <row r="745897" spans="31:32" x14ac:dyDescent="0.25">
      <c r="AE745897" s="36"/>
      <c r="AF745897" s="36"/>
    </row>
    <row r="745993" spans="31:32" x14ac:dyDescent="0.25">
      <c r="AE745993" s="34"/>
      <c r="AF745993" s="34"/>
    </row>
    <row r="746001" spans="31:32" x14ac:dyDescent="0.25">
      <c r="AE746001" s="36"/>
      <c r="AF746001" s="36"/>
    </row>
    <row r="746097" spans="31:32" x14ac:dyDescent="0.25">
      <c r="AE746097" s="34"/>
      <c r="AF746097" s="34"/>
    </row>
    <row r="746105" spans="31:32" x14ac:dyDescent="0.25">
      <c r="AE746105" s="36"/>
      <c r="AF746105" s="36"/>
    </row>
    <row r="746201" spans="31:32" x14ac:dyDescent="0.25">
      <c r="AE746201" s="34"/>
      <c r="AF746201" s="34"/>
    </row>
    <row r="746209" spans="31:32" x14ac:dyDescent="0.25">
      <c r="AE746209" s="36"/>
      <c r="AF746209" s="36"/>
    </row>
    <row r="746305" spans="31:32" x14ac:dyDescent="0.25">
      <c r="AE746305" s="34"/>
      <c r="AF746305" s="34"/>
    </row>
    <row r="746313" spans="31:32" x14ac:dyDescent="0.25">
      <c r="AE746313" s="36"/>
      <c r="AF746313" s="36"/>
    </row>
    <row r="746409" spans="31:32" x14ac:dyDescent="0.25">
      <c r="AE746409" s="34"/>
      <c r="AF746409" s="34"/>
    </row>
    <row r="746417" spans="31:32" x14ac:dyDescent="0.25">
      <c r="AE746417" s="36"/>
      <c r="AF746417" s="36"/>
    </row>
    <row r="746513" spans="31:32" x14ac:dyDescent="0.25">
      <c r="AE746513" s="34"/>
      <c r="AF746513" s="34"/>
    </row>
    <row r="746521" spans="31:32" x14ac:dyDescent="0.25">
      <c r="AE746521" s="36"/>
      <c r="AF746521" s="36"/>
    </row>
    <row r="746617" spans="31:32" x14ac:dyDescent="0.25">
      <c r="AE746617" s="34"/>
      <c r="AF746617" s="34"/>
    </row>
    <row r="746625" spans="31:32" x14ac:dyDescent="0.25">
      <c r="AE746625" s="36"/>
      <c r="AF746625" s="36"/>
    </row>
    <row r="746721" spans="31:32" x14ac:dyDescent="0.25">
      <c r="AE746721" s="34"/>
      <c r="AF746721" s="34"/>
    </row>
    <row r="746729" spans="31:32" x14ac:dyDescent="0.25">
      <c r="AE746729" s="36"/>
      <c r="AF746729" s="36"/>
    </row>
    <row r="746825" spans="31:32" x14ac:dyDescent="0.25">
      <c r="AE746825" s="34"/>
      <c r="AF746825" s="34"/>
    </row>
    <row r="746833" spans="31:32" x14ac:dyDescent="0.25">
      <c r="AE746833" s="36"/>
      <c r="AF746833" s="36"/>
    </row>
    <row r="746929" spans="31:32" x14ac:dyDescent="0.25">
      <c r="AE746929" s="34"/>
      <c r="AF746929" s="34"/>
    </row>
    <row r="746937" spans="31:32" x14ac:dyDescent="0.25">
      <c r="AE746937" s="36"/>
      <c r="AF746937" s="36"/>
    </row>
    <row r="747033" spans="31:32" x14ac:dyDescent="0.25">
      <c r="AE747033" s="34"/>
      <c r="AF747033" s="34"/>
    </row>
    <row r="747041" spans="31:32" x14ac:dyDescent="0.25">
      <c r="AE747041" s="36"/>
      <c r="AF747041" s="36"/>
    </row>
    <row r="747137" spans="31:32" x14ac:dyDescent="0.25">
      <c r="AE747137" s="34"/>
      <c r="AF747137" s="34"/>
    </row>
    <row r="747145" spans="31:32" x14ac:dyDescent="0.25">
      <c r="AE747145" s="36"/>
      <c r="AF747145" s="36"/>
    </row>
    <row r="747241" spans="31:32" x14ac:dyDescent="0.25">
      <c r="AE747241" s="34"/>
      <c r="AF747241" s="34"/>
    </row>
    <row r="747249" spans="31:32" x14ac:dyDescent="0.25">
      <c r="AE747249" s="36"/>
      <c r="AF747249" s="36"/>
    </row>
    <row r="747345" spans="31:32" x14ac:dyDescent="0.25">
      <c r="AE747345" s="34"/>
      <c r="AF747345" s="34"/>
    </row>
    <row r="747353" spans="31:32" x14ac:dyDescent="0.25">
      <c r="AE747353" s="36"/>
      <c r="AF747353" s="36"/>
    </row>
    <row r="747449" spans="31:32" x14ac:dyDescent="0.25">
      <c r="AE747449" s="34"/>
      <c r="AF747449" s="34"/>
    </row>
    <row r="747457" spans="31:32" x14ac:dyDescent="0.25">
      <c r="AE747457" s="36"/>
      <c r="AF747457" s="36"/>
    </row>
    <row r="747553" spans="31:32" x14ac:dyDescent="0.25">
      <c r="AE747553" s="34"/>
      <c r="AF747553" s="34"/>
    </row>
    <row r="747561" spans="31:32" x14ac:dyDescent="0.25">
      <c r="AE747561" s="36"/>
      <c r="AF747561" s="36"/>
    </row>
    <row r="747657" spans="31:32" x14ac:dyDescent="0.25">
      <c r="AE747657" s="34"/>
      <c r="AF747657" s="34"/>
    </row>
    <row r="747665" spans="31:32" x14ac:dyDescent="0.25">
      <c r="AE747665" s="36"/>
      <c r="AF747665" s="36"/>
    </row>
    <row r="747761" spans="31:32" x14ac:dyDescent="0.25">
      <c r="AE747761" s="34"/>
      <c r="AF747761" s="34"/>
    </row>
    <row r="747769" spans="31:32" x14ac:dyDescent="0.25">
      <c r="AE747769" s="36"/>
      <c r="AF747769" s="36"/>
    </row>
    <row r="747865" spans="31:32" x14ac:dyDescent="0.25">
      <c r="AE747865" s="34"/>
      <c r="AF747865" s="34"/>
    </row>
    <row r="747873" spans="31:32" x14ac:dyDescent="0.25">
      <c r="AE747873" s="36"/>
      <c r="AF747873" s="36"/>
    </row>
    <row r="747969" spans="31:32" x14ac:dyDescent="0.25">
      <c r="AE747969" s="34"/>
      <c r="AF747969" s="34"/>
    </row>
    <row r="747977" spans="31:32" x14ac:dyDescent="0.25">
      <c r="AE747977" s="36"/>
      <c r="AF747977" s="36"/>
    </row>
    <row r="748073" spans="31:32" x14ac:dyDescent="0.25">
      <c r="AE748073" s="34"/>
      <c r="AF748073" s="34"/>
    </row>
    <row r="748081" spans="31:32" x14ac:dyDescent="0.25">
      <c r="AE748081" s="36"/>
      <c r="AF748081" s="36"/>
    </row>
    <row r="748177" spans="31:32" x14ac:dyDescent="0.25">
      <c r="AE748177" s="34"/>
      <c r="AF748177" s="34"/>
    </row>
    <row r="748185" spans="31:32" x14ac:dyDescent="0.25">
      <c r="AE748185" s="36"/>
      <c r="AF748185" s="36"/>
    </row>
    <row r="748281" spans="31:32" x14ac:dyDescent="0.25">
      <c r="AE748281" s="34"/>
      <c r="AF748281" s="34"/>
    </row>
    <row r="748289" spans="31:32" x14ac:dyDescent="0.25">
      <c r="AE748289" s="36"/>
      <c r="AF748289" s="36"/>
    </row>
    <row r="748385" spans="31:32" x14ac:dyDescent="0.25">
      <c r="AE748385" s="34"/>
      <c r="AF748385" s="34"/>
    </row>
    <row r="748393" spans="31:32" x14ac:dyDescent="0.25">
      <c r="AE748393" s="36"/>
      <c r="AF748393" s="36"/>
    </row>
    <row r="748489" spans="31:32" x14ac:dyDescent="0.25">
      <c r="AE748489" s="34"/>
      <c r="AF748489" s="34"/>
    </row>
    <row r="748497" spans="31:32" x14ac:dyDescent="0.25">
      <c r="AE748497" s="36"/>
      <c r="AF748497" s="36"/>
    </row>
    <row r="748593" spans="31:32" x14ac:dyDescent="0.25">
      <c r="AE748593" s="34"/>
      <c r="AF748593" s="34"/>
    </row>
    <row r="748601" spans="31:32" x14ac:dyDescent="0.25">
      <c r="AE748601" s="36"/>
      <c r="AF748601" s="36"/>
    </row>
    <row r="748697" spans="31:32" x14ac:dyDescent="0.25">
      <c r="AE748697" s="34"/>
      <c r="AF748697" s="34"/>
    </row>
    <row r="748705" spans="31:32" x14ac:dyDescent="0.25">
      <c r="AE748705" s="36"/>
      <c r="AF748705" s="36"/>
    </row>
    <row r="748801" spans="31:32" x14ac:dyDescent="0.25">
      <c r="AE748801" s="34"/>
      <c r="AF748801" s="34"/>
    </row>
    <row r="748809" spans="31:32" x14ac:dyDescent="0.25">
      <c r="AE748809" s="36"/>
      <c r="AF748809" s="36"/>
    </row>
    <row r="748905" spans="31:32" x14ac:dyDescent="0.25">
      <c r="AE748905" s="34"/>
      <c r="AF748905" s="34"/>
    </row>
    <row r="748913" spans="31:32" x14ac:dyDescent="0.25">
      <c r="AE748913" s="36"/>
      <c r="AF748913" s="36"/>
    </row>
    <row r="749009" spans="31:32" x14ac:dyDescent="0.25">
      <c r="AE749009" s="34"/>
      <c r="AF749009" s="34"/>
    </row>
    <row r="749017" spans="31:32" x14ac:dyDescent="0.25">
      <c r="AE749017" s="36"/>
      <c r="AF749017" s="36"/>
    </row>
    <row r="749113" spans="31:32" x14ac:dyDescent="0.25">
      <c r="AE749113" s="34"/>
      <c r="AF749113" s="34"/>
    </row>
    <row r="749121" spans="31:32" x14ac:dyDescent="0.25">
      <c r="AE749121" s="36"/>
      <c r="AF749121" s="36"/>
    </row>
    <row r="749217" spans="31:32" x14ac:dyDescent="0.25">
      <c r="AE749217" s="34"/>
      <c r="AF749217" s="34"/>
    </row>
    <row r="749225" spans="31:32" x14ac:dyDescent="0.25">
      <c r="AE749225" s="36"/>
      <c r="AF749225" s="36"/>
    </row>
    <row r="749321" spans="31:32" x14ac:dyDescent="0.25">
      <c r="AE749321" s="34"/>
      <c r="AF749321" s="34"/>
    </row>
    <row r="749329" spans="31:32" x14ac:dyDescent="0.25">
      <c r="AE749329" s="36"/>
      <c r="AF749329" s="36"/>
    </row>
    <row r="749425" spans="31:32" x14ac:dyDescent="0.25">
      <c r="AE749425" s="34"/>
      <c r="AF749425" s="34"/>
    </row>
    <row r="749433" spans="31:32" x14ac:dyDescent="0.25">
      <c r="AE749433" s="36"/>
      <c r="AF749433" s="36"/>
    </row>
    <row r="749529" spans="31:32" x14ac:dyDescent="0.25">
      <c r="AE749529" s="34"/>
      <c r="AF749529" s="34"/>
    </row>
    <row r="749537" spans="31:32" x14ac:dyDescent="0.25">
      <c r="AE749537" s="36"/>
      <c r="AF749537" s="36"/>
    </row>
    <row r="749633" spans="31:32" x14ac:dyDescent="0.25">
      <c r="AE749633" s="34"/>
      <c r="AF749633" s="34"/>
    </row>
    <row r="749641" spans="31:32" x14ac:dyDescent="0.25">
      <c r="AE749641" s="36"/>
      <c r="AF749641" s="36"/>
    </row>
    <row r="749737" spans="31:32" x14ac:dyDescent="0.25">
      <c r="AE749737" s="34"/>
      <c r="AF749737" s="34"/>
    </row>
    <row r="749745" spans="31:32" x14ac:dyDescent="0.25">
      <c r="AE749745" s="36"/>
      <c r="AF749745" s="36"/>
    </row>
    <row r="749841" spans="31:32" x14ac:dyDescent="0.25">
      <c r="AE749841" s="34"/>
      <c r="AF749841" s="34"/>
    </row>
    <row r="749849" spans="31:32" x14ac:dyDescent="0.25">
      <c r="AE749849" s="36"/>
      <c r="AF749849" s="36"/>
    </row>
    <row r="749945" spans="31:32" x14ac:dyDescent="0.25">
      <c r="AE749945" s="34"/>
      <c r="AF749945" s="34"/>
    </row>
    <row r="749953" spans="31:32" x14ac:dyDescent="0.25">
      <c r="AE749953" s="36"/>
      <c r="AF749953" s="36"/>
    </row>
    <row r="750049" spans="31:32" x14ac:dyDescent="0.25">
      <c r="AE750049" s="34"/>
      <c r="AF750049" s="34"/>
    </row>
    <row r="750057" spans="31:32" x14ac:dyDescent="0.25">
      <c r="AE750057" s="36"/>
      <c r="AF750057" s="36"/>
    </row>
    <row r="750153" spans="31:32" x14ac:dyDescent="0.25">
      <c r="AE750153" s="34"/>
      <c r="AF750153" s="34"/>
    </row>
    <row r="750161" spans="31:32" x14ac:dyDescent="0.25">
      <c r="AE750161" s="36"/>
      <c r="AF750161" s="36"/>
    </row>
    <row r="750257" spans="31:32" x14ac:dyDescent="0.25">
      <c r="AE750257" s="34"/>
      <c r="AF750257" s="34"/>
    </row>
    <row r="750265" spans="31:32" x14ac:dyDescent="0.25">
      <c r="AE750265" s="36"/>
      <c r="AF750265" s="36"/>
    </row>
    <row r="750361" spans="31:32" x14ac:dyDescent="0.25">
      <c r="AE750361" s="34"/>
      <c r="AF750361" s="34"/>
    </row>
    <row r="750369" spans="31:32" x14ac:dyDescent="0.25">
      <c r="AE750369" s="36"/>
      <c r="AF750369" s="36"/>
    </row>
    <row r="750465" spans="31:32" x14ac:dyDescent="0.25">
      <c r="AE750465" s="34"/>
      <c r="AF750465" s="34"/>
    </row>
    <row r="750473" spans="31:32" x14ac:dyDescent="0.25">
      <c r="AE750473" s="36"/>
      <c r="AF750473" s="36"/>
    </row>
    <row r="750569" spans="31:32" x14ac:dyDescent="0.25">
      <c r="AE750569" s="34"/>
      <c r="AF750569" s="34"/>
    </row>
    <row r="750577" spans="31:32" x14ac:dyDescent="0.25">
      <c r="AE750577" s="36"/>
      <c r="AF750577" s="36"/>
    </row>
    <row r="750673" spans="31:32" x14ac:dyDescent="0.25">
      <c r="AE750673" s="34"/>
      <c r="AF750673" s="34"/>
    </row>
    <row r="750681" spans="31:32" x14ac:dyDescent="0.25">
      <c r="AE750681" s="36"/>
      <c r="AF750681" s="36"/>
    </row>
    <row r="750777" spans="31:32" x14ac:dyDescent="0.25">
      <c r="AE750777" s="34"/>
      <c r="AF750777" s="34"/>
    </row>
    <row r="750785" spans="31:32" x14ac:dyDescent="0.25">
      <c r="AE750785" s="36"/>
      <c r="AF750785" s="36"/>
    </row>
    <row r="750881" spans="31:32" x14ac:dyDescent="0.25">
      <c r="AE750881" s="34"/>
      <c r="AF750881" s="34"/>
    </row>
    <row r="750889" spans="31:32" x14ac:dyDescent="0.25">
      <c r="AE750889" s="36"/>
      <c r="AF750889" s="36"/>
    </row>
    <row r="750985" spans="31:32" x14ac:dyDescent="0.25">
      <c r="AE750985" s="34"/>
      <c r="AF750985" s="34"/>
    </row>
    <row r="750993" spans="31:32" x14ac:dyDescent="0.25">
      <c r="AE750993" s="36"/>
      <c r="AF750993" s="36"/>
    </row>
    <row r="751089" spans="31:32" x14ac:dyDescent="0.25">
      <c r="AE751089" s="34"/>
      <c r="AF751089" s="34"/>
    </row>
    <row r="751097" spans="31:32" x14ac:dyDescent="0.25">
      <c r="AE751097" s="36"/>
      <c r="AF751097" s="36"/>
    </row>
    <row r="751193" spans="31:32" x14ac:dyDescent="0.25">
      <c r="AE751193" s="34"/>
      <c r="AF751193" s="34"/>
    </row>
    <row r="751201" spans="31:32" x14ac:dyDescent="0.25">
      <c r="AE751201" s="36"/>
      <c r="AF751201" s="36"/>
    </row>
    <row r="751297" spans="31:32" x14ac:dyDescent="0.25">
      <c r="AE751297" s="34"/>
      <c r="AF751297" s="34"/>
    </row>
    <row r="751305" spans="31:32" x14ac:dyDescent="0.25">
      <c r="AE751305" s="36"/>
      <c r="AF751305" s="36"/>
    </row>
    <row r="751401" spans="31:32" x14ac:dyDescent="0.25">
      <c r="AE751401" s="34"/>
      <c r="AF751401" s="34"/>
    </row>
    <row r="751409" spans="31:32" x14ac:dyDescent="0.25">
      <c r="AE751409" s="36"/>
      <c r="AF751409" s="36"/>
    </row>
    <row r="751505" spans="31:32" x14ac:dyDescent="0.25">
      <c r="AE751505" s="34"/>
      <c r="AF751505" s="34"/>
    </row>
    <row r="751513" spans="31:32" x14ac:dyDescent="0.25">
      <c r="AE751513" s="36"/>
      <c r="AF751513" s="36"/>
    </row>
    <row r="751609" spans="31:32" x14ac:dyDescent="0.25">
      <c r="AE751609" s="34"/>
      <c r="AF751609" s="34"/>
    </row>
    <row r="751617" spans="31:32" x14ac:dyDescent="0.25">
      <c r="AE751617" s="36"/>
      <c r="AF751617" s="36"/>
    </row>
    <row r="751713" spans="31:32" x14ac:dyDescent="0.25">
      <c r="AE751713" s="34"/>
      <c r="AF751713" s="34"/>
    </row>
    <row r="751721" spans="31:32" x14ac:dyDescent="0.25">
      <c r="AE751721" s="36"/>
      <c r="AF751721" s="36"/>
    </row>
    <row r="751817" spans="31:32" x14ac:dyDescent="0.25">
      <c r="AE751817" s="34"/>
      <c r="AF751817" s="34"/>
    </row>
    <row r="751825" spans="31:32" x14ac:dyDescent="0.25">
      <c r="AE751825" s="36"/>
      <c r="AF751825" s="36"/>
    </row>
    <row r="751921" spans="31:32" x14ac:dyDescent="0.25">
      <c r="AE751921" s="34"/>
      <c r="AF751921" s="34"/>
    </row>
    <row r="751929" spans="31:32" x14ac:dyDescent="0.25">
      <c r="AE751929" s="36"/>
      <c r="AF751929" s="36"/>
    </row>
    <row r="752025" spans="31:32" x14ac:dyDescent="0.25">
      <c r="AE752025" s="34"/>
      <c r="AF752025" s="34"/>
    </row>
    <row r="752033" spans="31:32" x14ac:dyDescent="0.25">
      <c r="AE752033" s="36"/>
      <c r="AF752033" s="36"/>
    </row>
    <row r="752129" spans="31:32" x14ac:dyDescent="0.25">
      <c r="AE752129" s="34"/>
      <c r="AF752129" s="34"/>
    </row>
    <row r="752137" spans="31:32" x14ac:dyDescent="0.25">
      <c r="AE752137" s="36"/>
      <c r="AF752137" s="36"/>
    </row>
    <row r="752233" spans="31:32" x14ac:dyDescent="0.25">
      <c r="AE752233" s="34"/>
      <c r="AF752233" s="34"/>
    </row>
    <row r="752241" spans="31:32" x14ac:dyDescent="0.25">
      <c r="AE752241" s="36"/>
      <c r="AF752241" s="36"/>
    </row>
    <row r="752337" spans="31:32" x14ac:dyDescent="0.25">
      <c r="AE752337" s="34"/>
      <c r="AF752337" s="34"/>
    </row>
    <row r="752345" spans="31:32" x14ac:dyDescent="0.25">
      <c r="AE752345" s="36"/>
      <c r="AF752345" s="36"/>
    </row>
    <row r="752441" spans="31:32" x14ac:dyDescent="0.25">
      <c r="AE752441" s="34"/>
      <c r="AF752441" s="34"/>
    </row>
    <row r="752449" spans="31:32" x14ac:dyDescent="0.25">
      <c r="AE752449" s="36"/>
      <c r="AF752449" s="36"/>
    </row>
    <row r="752545" spans="31:32" x14ac:dyDescent="0.25">
      <c r="AE752545" s="34"/>
      <c r="AF752545" s="34"/>
    </row>
    <row r="752553" spans="31:32" x14ac:dyDescent="0.25">
      <c r="AE752553" s="36"/>
      <c r="AF752553" s="36"/>
    </row>
    <row r="752649" spans="31:32" x14ac:dyDescent="0.25">
      <c r="AE752649" s="34"/>
      <c r="AF752649" s="34"/>
    </row>
    <row r="752657" spans="31:32" x14ac:dyDescent="0.25">
      <c r="AE752657" s="36"/>
      <c r="AF752657" s="36"/>
    </row>
    <row r="752753" spans="31:32" x14ac:dyDescent="0.25">
      <c r="AE752753" s="34"/>
      <c r="AF752753" s="34"/>
    </row>
    <row r="752761" spans="31:32" x14ac:dyDescent="0.25">
      <c r="AE752761" s="36"/>
      <c r="AF752761" s="36"/>
    </row>
    <row r="752857" spans="31:32" x14ac:dyDescent="0.25">
      <c r="AE752857" s="34"/>
      <c r="AF752857" s="34"/>
    </row>
    <row r="752865" spans="31:32" x14ac:dyDescent="0.25">
      <c r="AE752865" s="36"/>
      <c r="AF752865" s="36"/>
    </row>
    <row r="752961" spans="31:32" x14ac:dyDescent="0.25">
      <c r="AE752961" s="34"/>
      <c r="AF752961" s="34"/>
    </row>
    <row r="752969" spans="31:32" x14ac:dyDescent="0.25">
      <c r="AE752969" s="36"/>
      <c r="AF752969" s="36"/>
    </row>
    <row r="753065" spans="31:32" x14ac:dyDescent="0.25">
      <c r="AE753065" s="34"/>
      <c r="AF753065" s="34"/>
    </row>
    <row r="753073" spans="31:32" x14ac:dyDescent="0.25">
      <c r="AE753073" s="36"/>
      <c r="AF753073" s="36"/>
    </row>
    <row r="753169" spans="31:32" x14ac:dyDescent="0.25">
      <c r="AE753169" s="34"/>
      <c r="AF753169" s="34"/>
    </row>
    <row r="753177" spans="31:32" x14ac:dyDescent="0.25">
      <c r="AE753177" s="36"/>
      <c r="AF753177" s="36"/>
    </row>
    <row r="753273" spans="31:32" x14ac:dyDescent="0.25">
      <c r="AE753273" s="34"/>
      <c r="AF753273" s="34"/>
    </row>
    <row r="753281" spans="31:32" x14ac:dyDescent="0.25">
      <c r="AE753281" s="36"/>
      <c r="AF753281" s="36"/>
    </row>
    <row r="753377" spans="31:32" x14ac:dyDescent="0.25">
      <c r="AE753377" s="34"/>
      <c r="AF753377" s="34"/>
    </row>
    <row r="753385" spans="31:32" x14ac:dyDescent="0.25">
      <c r="AE753385" s="36"/>
      <c r="AF753385" s="36"/>
    </row>
    <row r="753481" spans="31:32" x14ac:dyDescent="0.25">
      <c r="AE753481" s="34"/>
      <c r="AF753481" s="34"/>
    </row>
    <row r="753489" spans="31:32" x14ac:dyDescent="0.25">
      <c r="AE753489" s="36"/>
      <c r="AF753489" s="36"/>
    </row>
    <row r="753585" spans="31:32" x14ac:dyDescent="0.25">
      <c r="AE753585" s="34"/>
      <c r="AF753585" s="34"/>
    </row>
    <row r="753593" spans="31:32" x14ac:dyDescent="0.25">
      <c r="AE753593" s="36"/>
      <c r="AF753593" s="36"/>
    </row>
    <row r="753689" spans="31:32" x14ac:dyDescent="0.25">
      <c r="AE753689" s="34"/>
      <c r="AF753689" s="34"/>
    </row>
    <row r="753697" spans="31:32" x14ac:dyDescent="0.25">
      <c r="AE753697" s="36"/>
      <c r="AF753697" s="36"/>
    </row>
    <row r="753793" spans="31:32" x14ac:dyDescent="0.25">
      <c r="AE753793" s="34"/>
      <c r="AF753793" s="34"/>
    </row>
    <row r="753801" spans="31:32" x14ac:dyDescent="0.25">
      <c r="AE753801" s="36"/>
      <c r="AF753801" s="36"/>
    </row>
    <row r="753897" spans="31:32" x14ac:dyDescent="0.25">
      <c r="AE753897" s="34"/>
      <c r="AF753897" s="34"/>
    </row>
    <row r="753905" spans="31:32" x14ac:dyDescent="0.25">
      <c r="AE753905" s="36"/>
      <c r="AF753905" s="36"/>
    </row>
    <row r="754001" spans="31:32" x14ac:dyDescent="0.25">
      <c r="AE754001" s="34"/>
      <c r="AF754001" s="34"/>
    </row>
    <row r="754009" spans="31:32" x14ac:dyDescent="0.25">
      <c r="AE754009" s="36"/>
      <c r="AF754009" s="36"/>
    </row>
    <row r="754105" spans="31:32" x14ac:dyDescent="0.25">
      <c r="AE754105" s="34"/>
      <c r="AF754105" s="34"/>
    </row>
    <row r="754113" spans="31:32" x14ac:dyDescent="0.25">
      <c r="AE754113" s="36"/>
      <c r="AF754113" s="36"/>
    </row>
    <row r="754209" spans="31:32" x14ac:dyDescent="0.25">
      <c r="AE754209" s="34"/>
      <c r="AF754209" s="34"/>
    </row>
    <row r="754217" spans="31:32" x14ac:dyDescent="0.25">
      <c r="AE754217" s="36"/>
      <c r="AF754217" s="36"/>
    </row>
    <row r="754313" spans="31:32" x14ac:dyDescent="0.25">
      <c r="AE754313" s="34"/>
      <c r="AF754313" s="34"/>
    </row>
    <row r="754321" spans="31:32" x14ac:dyDescent="0.25">
      <c r="AE754321" s="36"/>
      <c r="AF754321" s="36"/>
    </row>
    <row r="754417" spans="31:32" x14ac:dyDescent="0.25">
      <c r="AE754417" s="34"/>
      <c r="AF754417" s="34"/>
    </row>
    <row r="754425" spans="31:32" x14ac:dyDescent="0.25">
      <c r="AE754425" s="36"/>
      <c r="AF754425" s="36"/>
    </row>
    <row r="754521" spans="31:32" x14ac:dyDescent="0.25">
      <c r="AE754521" s="34"/>
      <c r="AF754521" s="34"/>
    </row>
    <row r="754529" spans="31:32" x14ac:dyDescent="0.25">
      <c r="AE754529" s="36"/>
      <c r="AF754529" s="36"/>
    </row>
    <row r="754625" spans="31:32" x14ac:dyDescent="0.25">
      <c r="AE754625" s="34"/>
      <c r="AF754625" s="34"/>
    </row>
    <row r="754633" spans="31:32" x14ac:dyDescent="0.25">
      <c r="AE754633" s="36"/>
      <c r="AF754633" s="36"/>
    </row>
    <row r="754729" spans="31:32" x14ac:dyDescent="0.25">
      <c r="AE754729" s="34"/>
      <c r="AF754729" s="34"/>
    </row>
    <row r="754737" spans="31:32" x14ac:dyDescent="0.25">
      <c r="AE754737" s="36"/>
      <c r="AF754737" s="36"/>
    </row>
    <row r="754833" spans="31:32" x14ac:dyDescent="0.25">
      <c r="AE754833" s="34"/>
      <c r="AF754833" s="34"/>
    </row>
    <row r="754841" spans="31:32" x14ac:dyDescent="0.25">
      <c r="AE754841" s="36"/>
      <c r="AF754841" s="36"/>
    </row>
    <row r="754937" spans="31:32" x14ac:dyDescent="0.25">
      <c r="AE754937" s="34"/>
      <c r="AF754937" s="34"/>
    </row>
    <row r="754945" spans="31:32" x14ac:dyDescent="0.25">
      <c r="AE754945" s="36"/>
      <c r="AF754945" s="36"/>
    </row>
    <row r="755041" spans="31:32" x14ac:dyDescent="0.25">
      <c r="AE755041" s="34"/>
      <c r="AF755041" s="34"/>
    </row>
    <row r="755049" spans="31:32" x14ac:dyDescent="0.25">
      <c r="AE755049" s="36"/>
      <c r="AF755049" s="36"/>
    </row>
    <row r="755145" spans="31:32" x14ac:dyDescent="0.25">
      <c r="AE755145" s="34"/>
      <c r="AF755145" s="34"/>
    </row>
    <row r="755153" spans="31:32" x14ac:dyDescent="0.25">
      <c r="AE755153" s="36"/>
      <c r="AF755153" s="36"/>
    </row>
    <row r="755249" spans="31:32" x14ac:dyDescent="0.25">
      <c r="AE755249" s="34"/>
      <c r="AF755249" s="34"/>
    </row>
    <row r="755257" spans="31:32" x14ac:dyDescent="0.25">
      <c r="AE755257" s="36"/>
      <c r="AF755257" s="36"/>
    </row>
    <row r="755353" spans="31:32" x14ac:dyDescent="0.25">
      <c r="AE755353" s="34"/>
      <c r="AF755353" s="34"/>
    </row>
    <row r="755361" spans="31:32" x14ac:dyDescent="0.25">
      <c r="AE755361" s="36"/>
      <c r="AF755361" s="36"/>
    </row>
    <row r="755457" spans="31:32" x14ac:dyDescent="0.25">
      <c r="AE755457" s="34"/>
      <c r="AF755457" s="34"/>
    </row>
    <row r="755465" spans="31:32" x14ac:dyDescent="0.25">
      <c r="AE755465" s="36"/>
      <c r="AF755465" s="36"/>
    </row>
    <row r="755561" spans="31:32" x14ac:dyDescent="0.25">
      <c r="AE755561" s="34"/>
      <c r="AF755561" s="34"/>
    </row>
    <row r="755569" spans="31:32" x14ac:dyDescent="0.25">
      <c r="AE755569" s="36"/>
      <c r="AF755569" s="36"/>
    </row>
    <row r="755665" spans="31:32" x14ac:dyDescent="0.25">
      <c r="AE755665" s="34"/>
      <c r="AF755665" s="34"/>
    </row>
    <row r="755673" spans="31:32" x14ac:dyDescent="0.25">
      <c r="AE755673" s="36"/>
      <c r="AF755673" s="36"/>
    </row>
    <row r="755769" spans="31:32" x14ac:dyDescent="0.25">
      <c r="AE755769" s="34"/>
      <c r="AF755769" s="34"/>
    </row>
    <row r="755777" spans="31:32" x14ac:dyDescent="0.25">
      <c r="AE755777" s="36"/>
      <c r="AF755777" s="36"/>
    </row>
    <row r="755873" spans="31:32" x14ac:dyDescent="0.25">
      <c r="AE755873" s="34"/>
      <c r="AF755873" s="34"/>
    </row>
    <row r="755881" spans="31:32" x14ac:dyDescent="0.25">
      <c r="AE755881" s="36"/>
      <c r="AF755881" s="36"/>
    </row>
    <row r="755977" spans="31:32" x14ac:dyDescent="0.25">
      <c r="AE755977" s="34"/>
      <c r="AF755977" s="34"/>
    </row>
    <row r="755985" spans="31:32" x14ac:dyDescent="0.25">
      <c r="AE755985" s="36"/>
      <c r="AF755985" s="36"/>
    </row>
    <row r="756081" spans="31:32" x14ac:dyDescent="0.25">
      <c r="AE756081" s="34"/>
      <c r="AF756081" s="34"/>
    </row>
    <row r="756089" spans="31:32" x14ac:dyDescent="0.25">
      <c r="AE756089" s="36"/>
      <c r="AF756089" s="36"/>
    </row>
    <row r="756185" spans="31:32" x14ac:dyDescent="0.25">
      <c r="AE756185" s="34"/>
      <c r="AF756185" s="34"/>
    </row>
    <row r="756193" spans="31:32" x14ac:dyDescent="0.25">
      <c r="AE756193" s="36"/>
      <c r="AF756193" s="36"/>
    </row>
    <row r="756289" spans="31:32" x14ac:dyDescent="0.25">
      <c r="AE756289" s="34"/>
      <c r="AF756289" s="34"/>
    </row>
    <row r="756297" spans="31:32" x14ac:dyDescent="0.25">
      <c r="AE756297" s="36"/>
      <c r="AF756297" s="36"/>
    </row>
    <row r="756393" spans="31:32" x14ac:dyDescent="0.25">
      <c r="AE756393" s="34"/>
      <c r="AF756393" s="34"/>
    </row>
    <row r="756401" spans="31:32" x14ac:dyDescent="0.25">
      <c r="AE756401" s="36"/>
      <c r="AF756401" s="36"/>
    </row>
    <row r="756497" spans="31:32" x14ac:dyDescent="0.25">
      <c r="AE756497" s="34"/>
      <c r="AF756497" s="34"/>
    </row>
    <row r="756505" spans="31:32" x14ac:dyDescent="0.25">
      <c r="AE756505" s="36"/>
      <c r="AF756505" s="36"/>
    </row>
    <row r="756601" spans="31:32" x14ac:dyDescent="0.25">
      <c r="AE756601" s="34"/>
      <c r="AF756601" s="34"/>
    </row>
    <row r="756609" spans="31:32" x14ac:dyDescent="0.25">
      <c r="AE756609" s="36"/>
      <c r="AF756609" s="36"/>
    </row>
    <row r="756705" spans="31:32" x14ac:dyDescent="0.25">
      <c r="AE756705" s="34"/>
      <c r="AF756705" s="34"/>
    </row>
    <row r="756713" spans="31:32" x14ac:dyDescent="0.25">
      <c r="AE756713" s="36"/>
      <c r="AF756713" s="36"/>
    </row>
    <row r="756809" spans="31:32" x14ac:dyDescent="0.25">
      <c r="AE756809" s="34"/>
      <c r="AF756809" s="34"/>
    </row>
    <row r="756817" spans="31:32" x14ac:dyDescent="0.25">
      <c r="AE756817" s="36"/>
      <c r="AF756817" s="36"/>
    </row>
    <row r="756913" spans="31:32" x14ac:dyDescent="0.25">
      <c r="AE756913" s="34"/>
      <c r="AF756913" s="34"/>
    </row>
    <row r="756921" spans="31:32" x14ac:dyDescent="0.25">
      <c r="AE756921" s="36"/>
      <c r="AF756921" s="36"/>
    </row>
    <row r="757017" spans="31:32" x14ac:dyDescent="0.25">
      <c r="AE757017" s="34"/>
      <c r="AF757017" s="34"/>
    </row>
    <row r="757025" spans="31:32" x14ac:dyDescent="0.25">
      <c r="AE757025" s="36"/>
      <c r="AF757025" s="36"/>
    </row>
    <row r="757121" spans="31:32" x14ac:dyDescent="0.25">
      <c r="AE757121" s="34"/>
      <c r="AF757121" s="34"/>
    </row>
    <row r="757129" spans="31:32" x14ac:dyDescent="0.25">
      <c r="AE757129" s="36"/>
      <c r="AF757129" s="36"/>
    </row>
    <row r="757225" spans="31:32" x14ac:dyDescent="0.25">
      <c r="AE757225" s="34"/>
      <c r="AF757225" s="34"/>
    </row>
    <row r="757233" spans="31:32" x14ac:dyDescent="0.25">
      <c r="AE757233" s="36"/>
      <c r="AF757233" s="36"/>
    </row>
    <row r="757329" spans="31:32" x14ac:dyDescent="0.25">
      <c r="AE757329" s="34"/>
      <c r="AF757329" s="34"/>
    </row>
    <row r="757337" spans="31:32" x14ac:dyDescent="0.25">
      <c r="AE757337" s="36"/>
      <c r="AF757337" s="36"/>
    </row>
    <row r="757433" spans="31:32" x14ac:dyDescent="0.25">
      <c r="AE757433" s="34"/>
      <c r="AF757433" s="34"/>
    </row>
    <row r="757441" spans="31:32" x14ac:dyDescent="0.25">
      <c r="AE757441" s="36"/>
      <c r="AF757441" s="36"/>
    </row>
    <row r="757537" spans="31:32" x14ac:dyDescent="0.25">
      <c r="AE757537" s="34"/>
      <c r="AF757537" s="34"/>
    </row>
    <row r="757545" spans="31:32" x14ac:dyDescent="0.25">
      <c r="AE757545" s="36"/>
      <c r="AF757545" s="36"/>
    </row>
    <row r="757641" spans="31:32" x14ac:dyDescent="0.25">
      <c r="AE757641" s="34"/>
      <c r="AF757641" s="34"/>
    </row>
    <row r="757649" spans="31:32" x14ac:dyDescent="0.25">
      <c r="AE757649" s="36"/>
      <c r="AF757649" s="36"/>
    </row>
    <row r="757745" spans="31:32" x14ac:dyDescent="0.25">
      <c r="AE757745" s="34"/>
      <c r="AF757745" s="34"/>
    </row>
    <row r="757753" spans="31:32" x14ac:dyDescent="0.25">
      <c r="AE757753" s="36"/>
      <c r="AF757753" s="36"/>
    </row>
    <row r="757849" spans="31:32" x14ac:dyDescent="0.25">
      <c r="AE757849" s="34"/>
      <c r="AF757849" s="34"/>
    </row>
    <row r="757857" spans="31:32" x14ac:dyDescent="0.25">
      <c r="AE757857" s="36"/>
      <c r="AF757857" s="36"/>
    </row>
    <row r="757953" spans="31:32" x14ac:dyDescent="0.25">
      <c r="AE757953" s="34"/>
      <c r="AF757953" s="34"/>
    </row>
    <row r="757961" spans="31:32" x14ac:dyDescent="0.25">
      <c r="AE757961" s="36"/>
      <c r="AF757961" s="36"/>
    </row>
    <row r="758057" spans="31:32" x14ac:dyDescent="0.25">
      <c r="AE758057" s="34"/>
      <c r="AF758057" s="34"/>
    </row>
    <row r="758065" spans="31:32" x14ac:dyDescent="0.25">
      <c r="AE758065" s="36"/>
      <c r="AF758065" s="36"/>
    </row>
    <row r="758161" spans="31:32" x14ac:dyDescent="0.25">
      <c r="AE758161" s="34"/>
      <c r="AF758161" s="34"/>
    </row>
    <row r="758169" spans="31:32" x14ac:dyDescent="0.25">
      <c r="AE758169" s="36"/>
      <c r="AF758169" s="36"/>
    </row>
    <row r="758265" spans="31:32" x14ac:dyDescent="0.25">
      <c r="AE758265" s="34"/>
      <c r="AF758265" s="34"/>
    </row>
    <row r="758273" spans="31:32" x14ac:dyDescent="0.25">
      <c r="AE758273" s="36"/>
      <c r="AF758273" s="36"/>
    </row>
    <row r="758369" spans="31:32" x14ac:dyDescent="0.25">
      <c r="AE758369" s="34"/>
      <c r="AF758369" s="34"/>
    </row>
    <row r="758377" spans="31:32" x14ac:dyDescent="0.25">
      <c r="AE758377" s="36"/>
      <c r="AF758377" s="36"/>
    </row>
    <row r="758473" spans="31:32" x14ac:dyDescent="0.25">
      <c r="AE758473" s="34"/>
      <c r="AF758473" s="34"/>
    </row>
    <row r="758481" spans="31:32" x14ac:dyDescent="0.25">
      <c r="AE758481" s="36"/>
      <c r="AF758481" s="36"/>
    </row>
    <row r="758577" spans="31:32" x14ac:dyDescent="0.25">
      <c r="AE758577" s="34"/>
      <c r="AF758577" s="34"/>
    </row>
    <row r="758585" spans="31:32" x14ac:dyDescent="0.25">
      <c r="AE758585" s="36"/>
      <c r="AF758585" s="36"/>
    </row>
    <row r="758681" spans="31:32" x14ac:dyDescent="0.25">
      <c r="AE758681" s="34"/>
      <c r="AF758681" s="34"/>
    </row>
    <row r="758689" spans="31:32" x14ac:dyDescent="0.25">
      <c r="AE758689" s="36"/>
      <c r="AF758689" s="36"/>
    </row>
    <row r="758785" spans="31:32" x14ac:dyDescent="0.25">
      <c r="AE758785" s="34"/>
      <c r="AF758785" s="34"/>
    </row>
    <row r="758793" spans="31:32" x14ac:dyDescent="0.25">
      <c r="AE758793" s="36"/>
      <c r="AF758793" s="36"/>
    </row>
    <row r="758889" spans="31:32" x14ac:dyDescent="0.25">
      <c r="AE758889" s="34"/>
      <c r="AF758889" s="34"/>
    </row>
    <row r="758897" spans="31:32" x14ac:dyDescent="0.25">
      <c r="AE758897" s="36"/>
      <c r="AF758897" s="36"/>
    </row>
    <row r="758993" spans="31:32" x14ac:dyDescent="0.25">
      <c r="AE758993" s="34"/>
      <c r="AF758993" s="34"/>
    </row>
    <row r="759001" spans="31:32" x14ac:dyDescent="0.25">
      <c r="AE759001" s="36"/>
      <c r="AF759001" s="36"/>
    </row>
    <row r="759097" spans="31:32" x14ac:dyDescent="0.25">
      <c r="AE759097" s="34"/>
      <c r="AF759097" s="34"/>
    </row>
    <row r="759105" spans="31:32" x14ac:dyDescent="0.25">
      <c r="AE759105" s="36"/>
      <c r="AF759105" s="36"/>
    </row>
    <row r="759201" spans="31:32" x14ac:dyDescent="0.25">
      <c r="AE759201" s="34"/>
      <c r="AF759201" s="34"/>
    </row>
    <row r="759209" spans="31:32" x14ac:dyDescent="0.25">
      <c r="AE759209" s="36"/>
      <c r="AF759209" s="36"/>
    </row>
    <row r="759305" spans="31:32" x14ac:dyDescent="0.25">
      <c r="AE759305" s="34"/>
      <c r="AF759305" s="34"/>
    </row>
    <row r="759313" spans="31:32" x14ac:dyDescent="0.25">
      <c r="AE759313" s="36"/>
      <c r="AF759313" s="36"/>
    </row>
    <row r="759409" spans="31:32" x14ac:dyDescent="0.25">
      <c r="AE759409" s="34"/>
      <c r="AF759409" s="34"/>
    </row>
    <row r="759417" spans="31:32" x14ac:dyDescent="0.25">
      <c r="AE759417" s="36"/>
      <c r="AF759417" s="36"/>
    </row>
    <row r="759513" spans="31:32" x14ac:dyDescent="0.25">
      <c r="AE759513" s="34"/>
      <c r="AF759513" s="34"/>
    </row>
    <row r="759521" spans="31:32" x14ac:dyDescent="0.25">
      <c r="AE759521" s="36"/>
      <c r="AF759521" s="36"/>
    </row>
    <row r="759617" spans="31:32" x14ac:dyDescent="0.25">
      <c r="AE759617" s="34"/>
      <c r="AF759617" s="34"/>
    </row>
    <row r="759625" spans="31:32" x14ac:dyDescent="0.25">
      <c r="AE759625" s="36"/>
      <c r="AF759625" s="36"/>
    </row>
    <row r="759721" spans="31:32" x14ac:dyDescent="0.25">
      <c r="AE759721" s="34"/>
      <c r="AF759721" s="34"/>
    </row>
    <row r="759729" spans="31:32" x14ac:dyDescent="0.25">
      <c r="AE759729" s="36"/>
      <c r="AF759729" s="36"/>
    </row>
    <row r="759825" spans="31:32" x14ac:dyDescent="0.25">
      <c r="AE759825" s="34"/>
      <c r="AF759825" s="34"/>
    </row>
    <row r="759833" spans="31:32" x14ac:dyDescent="0.25">
      <c r="AE759833" s="36"/>
      <c r="AF759833" s="36"/>
    </row>
    <row r="759929" spans="31:32" x14ac:dyDescent="0.25">
      <c r="AE759929" s="34"/>
      <c r="AF759929" s="34"/>
    </row>
    <row r="759937" spans="31:32" x14ac:dyDescent="0.25">
      <c r="AE759937" s="36"/>
      <c r="AF759937" s="36"/>
    </row>
    <row r="760033" spans="31:32" x14ac:dyDescent="0.25">
      <c r="AE760033" s="34"/>
      <c r="AF760033" s="34"/>
    </row>
    <row r="760041" spans="31:32" x14ac:dyDescent="0.25">
      <c r="AE760041" s="36"/>
      <c r="AF760041" s="36"/>
    </row>
    <row r="760137" spans="31:32" x14ac:dyDescent="0.25">
      <c r="AE760137" s="34"/>
      <c r="AF760137" s="34"/>
    </row>
    <row r="760145" spans="31:32" x14ac:dyDescent="0.25">
      <c r="AE760145" s="36"/>
      <c r="AF760145" s="36"/>
    </row>
    <row r="760241" spans="31:32" x14ac:dyDescent="0.25">
      <c r="AE760241" s="34"/>
      <c r="AF760241" s="34"/>
    </row>
    <row r="760249" spans="31:32" x14ac:dyDescent="0.25">
      <c r="AE760249" s="36"/>
      <c r="AF760249" s="36"/>
    </row>
    <row r="760345" spans="31:32" x14ac:dyDescent="0.25">
      <c r="AE760345" s="34"/>
      <c r="AF760345" s="34"/>
    </row>
    <row r="760353" spans="31:32" x14ac:dyDescent="0.25">
      <c r="AE760353" s="36"/>
      <c r="AF760353" s="36"/>
    </row>
    <row r="760449" spans="31:32" x14ac:dyDescent="0.25">
      <c r="AE760449" s="34"/>
      <c r="AF760449" s="34"/>
    </row>
    <row r="760457" spans="31:32" x14ac:dyDescent="0.25">
      <c r="AE760457" s="36"/>
      <c r="AF760457" s="36"/>
    </row>
    <row r="760553" spans="31:32" x14ac:dyDescent="0.25">
      <c r="AE760553" s="34"/>
      <c r="AF760553" s="34"/>
    </row>
    <row r="760561" spans="31:32" x14ac:dyDescent="0.25">
      <c r="AE760561" s="36"/>
      <c r="AF760561" s="36"/>
    </row>
    <row r="760657" spans="31:32" x14ac:dyDescent="0.25">
      <c r="AE760657" s="34"/>
      <c r="AF760657" s="34"/>
    </row>
    <row r="760665" spans="31:32" x14ac:dyDescent="0.25">
      <c r="AE760665" s="36"/>
      <c r="AF760665" s="36"/>
    </row>
    <row r="760761" spans="31:32" x14ac:dyDescent="0.25">
      <c r="AE760761" s="34"/>
      <c r="AF760761" s="34"/>
    </row>
    <row r="760769" spans="31:32" x14ac:dyDescent="0.25">
      <c r="AE760769" s="36"/>
      <c r="AF760769" s="36"/>
    </row>
    <row r="760865" spans="31:32" x14ac:dyDescent="0.25">
      <c r="AE760865" s="34"/>
      <c r="AF760865" s="34"/>
    </row>
    <row r="760873" spans="31:32" x14ac:dyDescent="0.25">
      <c r="AE760873" s="36"/>
      <c r="AF760873" s="36"/>
    </row>
    <row r="760969" spans="31:32" x14ac:dyDescent="0.25">
      <c r="AE760969" s="34"/>
      <c r="AF760969" s="34"/>
    </row>
    <row r="760977" spans="31:32" x14ac:dyDescent="0.25">
      <c r="AE760977" s="36"/>
      <c r="AF760977" s="36"/>
    </row>
    <row r="761073" spans="31:32" x14ac:dyDescent="0.25">
      <c r="AE761073" s="34"/>
      <c r="AF761073" s="34"/>
    </row>
    <row r="761081" spans="31:32" x14ac:dyDescent="0.25">
      <c r="AE761081" s="36"/>
      <c r="AF761081" s="36"/>
    </row>
    <row r="761177" spans="31:32" x14ac:dyDescent="0.25">
      <c r="AE761177" s="34"/>
      <c r="AF761177" s="34"/>
    </row>
    <row r="761185" spans="31:32" x14ac:dyDescent="0.25">
      <c r="AE761185" s="36"/>
      <c r="AF761185" s="36"/>
    </row>
    <row r="761281" spans="31:32" x14ac:dyDescent="0.25">
      <c r="AE761281" s="34"/>
      <c r="AF761281" s="34"/>
    </row>
    <row r="761289" spans="31:32" x14ac:dyDescent="0.25">
      <c r="AE761289" s="36"/>
      <c r="AF761289" s="36"/>
    </row>
    <row r="761385" spans="31:32" x14ac:dyDescent="0.25">
      <c r="AE761385" s="34"/>
      <c r="AF761385" s="34"/>
    </row>
    <row r="761393" spans="31:32" x14ac:dyDescent="0.25">
      <c r="AE761393" s="36"/>
      <c r="AF761393" s="36"/>
    </row>
    <row r="761489" spans="31:32" x14ac:dyDescent="0.25">
      <c r="AE761489" s="34"/>
      <c r="AF761489" s="34"/>
    </row>
    <row r="761497" spans="31:32" x14ac:dyDescent="0.25">
      <c r="AE761497" s="36"/>
      <c r="AF761497" s="36"/>
    </row>
    <row r="761593" spans="31:32" x14ac:dyDescent="0.25">
      <c r="AE761593" s="34"/>
      <c r="AF761593" s="34"/>
    </row>
    <row r="761601" spans="31:32" x14ac:dyDescent="0.25">
      <c r="AE761601" s="36"/>
      <c r="AF761601" s="36"/>
    </row>
    <row r="761697" spans="31:32" x14ac:dyDescent="0.25">
      <c r="AE761697" s="34"/>
      <c r="AF761697" s="34"/>
    </row>
    <row r="761705" spans="31:32" x14ac:dyDescent="0.25">
      <c r="AE761705" s="36"/>
      <c r="AF761705" s="36"/>
    </row>
    <row r="761801" spans="31:32" x14ac:dyDescent="0.25">
      <c r="AE761801" s="34"/>
      <c r="AF761801" s="34"/>
    </row>
    <row r="761809" spans="31:32" x14ac:dyDescent="0.25">
      <c r="AE761809" s="36"/>
      <c r="AF761809" s="36"/>
    </row>
    <row r="761905" spans="31:32" x14ac:dyDescent="0.25">
      <c r="AE761905" s="34"/>
      <c r="AF761905" s="34"/>
    </row>
    <row r="761913" spans="31:32" x14ac:dyDescent="0.25">
      <c r="AE761913" s="36"/>
      <c r="AF761913" s="36"/>
    </row>
    <row r="762009" spans="31:32" x14ac:dyDescent="0.25">
      <c r="AE762009" s="34"/>
      <c r="AF762009" s="34"/>
    </row>
    <row r="762017" spans="31:32" x14ac:dyDescent="0.25">
      <c r="AE762017" s="36"/>
      <c r="AF762017" s="36"/>
    </row>
    <row r="762113" spans="31:32" x14ac:dyDescent="0.25">
      <c r="AE762113" s="34"/>
      <c r="AF762113" s="34"/>
    </row>
    <row r="762121" spans="31:32" x14ac:dyDescent="0.25">
      <c r="AE762121" s="36"/>
      <c r="AF762121" s="36"/>
    </row>
    <row r="762217" spans="31:32" x14ac:dyDescent="0.25">
      <c r="AE762217" s="34"/>
      <c r="AF762217" s="34"/>
    </row>
    <row r="762225" spans="31:32" x14ac:dyDescent="0.25">
      <c r="AE762225" s="36"/>
      <c r="AF762225" s="36"/>
    </row>
    <row r="762321" spans="31:32" x14ac:dyDescent="0.25">
      <c r="AE762321" s="34"/>
      <c r="AF762321" s="34"/>
    </row>
    <row r="762329" spans="31:32" x14ac:dyDescent="0.25">
      <c r="AE762329" s="36"/>
      <c r="AF762329" s="36"/>
    </row>
    <row r="762425" spans="31:32" x14ac:dyDescent="0.25">
      <c r="AE762425" s="34"/>
      <c r="AF762425" s="34"/>
    </row>
    <row r="762433" spans="31:32" x14ac:dyDescent="0.25">
      <c r="AE762433" s="36"/>
      <c r="AF762433" s="36"/>
    </row>
    <row r="762529" spans="31:32" x14ac:dyDescent="0.25">
      <c r="AE762529" s="34"/>
      <c r="AF762529" s="34"/>
    </row>
    <row r="762537" spans="31:32" x14ac:dyDescent="0.25">
      <c r="AE762537" s="36"/>
      <c r="AF762537" s="36"/>
    </row>
    <row r="762633" spans="31:32" x14ac:dyDescent="0.25">
      <c r="AE762633" s="34"/>
      <c r="AF762633" s="34"/>
    </row>
    <row r="762641" spans="31:32" x14ac:dyDescent="0.25">
      <c r="AE762641" s="36"/>
      <c r="AF762641" s="36"/>
    </row>
    <row r="762737" spans="31:32" x14ac:dyDescent="0.25">
      <c r="AE762737" s="34"/>
      <c r="AF762737" s="34"/>
    </row>
    <row r="762745" spans="31:32" x14ac:dyDescent="0.25">
      <c r="AE762745" s="36"/>
      <c r="AF762745" s="36"/>
    </row>
    <row r="762841" spans="31:32" x14ac:dyDescent="0.25">
      <c r="AE762841" s="34"/>
      <c r="AF762841" s="34"/>
    </row>
    <row r="762849" spans="31:32" x14ac:dyDescent="0.25">
      <c r="AE762849" s="36"/>
      <c r="AF762849" s="36"/>
    </row>
    <row r="762945" spans="31:32" x14ac:dyDescent="0.25">
      <c r="AE762945" s="34"/>
      <c r="AF762945" s="34"/>
    </row>
    <row r="762953" spans="31:32" x14ac:dyDescent="0.25">
      <c r="AE762953" s="36"/>
      <c r="AF762953" s="36"/>
    </row>
    <row r="763049" spans="31:32" x14ac:dyDescent="0.25">
      <c r="AE763049" s="34"/>
      <c r="AF763049" s="34"/>
    </row>
    <row r="763057" spans="31:32" x14ac:dyDescent="0.25">
      <c r="AE763057" s="36"/>
      <c r="AF763057" s="36"/>
    </row>
    <row r="763153" spans="31:32" x14ac:dyDescent="0.25">
      <c r="AE763153" s="34"/>
      <c r="AF763153" s="34"/>
    </row>
    <row r="763161" spans="31:32" x14ac:dyDescent="0.25">
      <c r="AE763161" s="36"/>
      <c r="AF763161" s="36"/>
    </row>
    <row r="763257" spans="31:32" x14ac:dyDescent="0.25">
      <c r="AE763257" s="34"/>
      <c r="AF763257" s="34"/>
    </row>
    <row r="763265" spans="31:32" x14ac:dyDescent="0.25">
      <c r="AE763265" s="36"/>
      <c r="AF763265" s="36"/>
    </row>
    <row r="763361" spans="31:32" x14ac:dyDescent="0.25">
      <c r="AE763361" s="34"/>
      <c r="AF763361" s="34"/>
    </row>
    <row r="763369" spans="31:32" x14ac:dyDescent="0.25">
      <c r="AE763369" s="36"/>
      <c r="AF763369" s="36"/>
    </row>
    <row r="763465" spans="31:32" x14ac:dyDescent="0.25">
      <c r="AE763465" s="34"/>
      <c r="AF763465" s="34"/>
    </row>
    <row r="763473" spans="31:32" x14ac:dyDescent="0.25">
      <c r="AE763473" s="36"/>
      <c r="AF763473" s="36"/>
    </row>
    <row r="763569" spans="31:32" x14ac:dyDescent="0.25">
      <c r="AE763569" s="34"/>
      <c r="AF763569" s="34"/>
    </row>
    <row r="763577" spans="31:32" x14ac:dyDescent="0.25">
      <c r="AE763577" s="36"/>
      <c r="AF763577" s="36"/>
    </row>
    <row r="763673" spans="31:32" x14ac:dyDescent="0.25">
      <c r="AE763673" s="34"/>
      <c r="AF763673" s="34"/>
    </row>
    <row r="763681" spans="31:32" x14ac:dyDescent="0.25">
      <c r="AE763681" s="36"/>
      <c r="AF763681" s="36"/>
    </row>
    <row r="763777" spans="31:32" x14ac:dyDescent="0.25">
      <c r="AE763777" s="34"/>
      <c r="AF763777" s="34"/>
    </row>
    <row r="763785" spans="31:32" x14ac:dyDescent="0.25">
      <c r="AE763785" s="36"/>
      <c r="AF763785" s="36"/>
    </row>
    <row r="763881" spans="31:32" x14ac:dyDescent="0.25">
      <c r="AE763881" s="34"/>
      <c r="AF763881" s="34"/>
    </row>
    <row r="763889" spans="31:32" x14ac:dyDescent="0.25">
      <c r="AE763889" s="36"/>
      <c r="AF763889" s="36"/>
    </row>
    <row r="763985" spans="31:32" x14ac:dyDescent="0.25">
      <c r="AE763985" s="34"/>
      <c r="AF763985" s="34"/>
    </row>
    <row r="763993" spans="31:32" x14ac:dyDescent="0.25">
      <c r="AE763993" s="36"/>
      <c r="AF763993" s="36"/>
    </row>
    <row r="764089" spans="31:32" x14ac:dyDescent="0.25">
      <c r="AE764089" s="34"/>
      <c r="AF764089" s="34"/>
    </row>
    <row r="764097" spans="31:32" x14ac:dyDescent="0.25">
      <c r="AE764097" s="36"/>
      <c r="AF764097" s="36"/>
    </row>
    <row r="764193" spans="31:32" x14ac:dyDescent="0.25">
      <c r="AE764193" s="34"/>
      <c r="AF764193" s="34"/>
    </row>
    <row r="764201" spans="31:32" x14ac:dyDescent="0.25">
      <c r="AE764201" s="36"/>
      <c r="AF764201" s="36"/>
    </row>
    <row r="764297" spans="31:32" x14ac:dyDescent="0.25">
      <c r="AE764297" s="34"/>
      <c r="AF764297" s="34"/>
    </row>
    <row r="764305" spans="31:32" x14ac:dyDescent="0.25">
      <c r="AE764305" s="36"/>
      <c r="AF764305" s="36"/>
    </row>
    <row r="764401" spans="31:32" x14ac:dyDescent="0.25">
      <c r="AE764401" s="34"/>
      <c r="AF764401" s="34"/>
    </row>
    <row r="764409" spans="31:32" x14ac:dyDescent="0.25">
      <c r="AE764409" s="36"/>
      <c r="AF764409" s="36"/>
    </row>
    <row r="764505" spans="31:32" x14ac:dyDescent="0.25">
      <c r="AE764505" s="34"/>
      <c r="AF764505" s="34"/>
    </row>
    <row r="764513" spans="31:32" x14ac:dyDescent="0.25">
      <c r="AE764513" s="36"/>
      <c r="AF764513" s="36"/>
    </row>
    <row r="764609" spans="31:32" x14ac:dyDescent="0.25">
      <c r="AE764609" s="34"/>
      <c r="AF764609" s="34"/>
    </row>
    <row r="764617" spans="31:32" x14ac:dyDescent="0.25">
      <c r="AE764617" s="36"/>
      <c r="AF764617" s="36"/>
    </row>
    <row r="764713" spans="31:32" x14ac:dyDescent="0.25">
      <c r="AE764713" s="34"/>
      <c r="AF764713" s="34"/>
    </row>
    <row r="764721" spans="31:32" x14ac:dyDescent="0.25">
      <c r="AE764721" s="36"/>
      <c r="AF764721" s="36"/>
    </row>
    <row r="764817" spans="31:32" x14ac:dyDescent="0.25">
      <c r="AE764817" s="34"/>
      <c r="AF764817" s="34"/>
    </row>
    <row r="764825" spans="31:32" x14ac:dyDescent="0.25">
      <c r="AE764825" s="36"/>
      <c r="AF764825" s="36"/>
    </row>
    <row r="764921" spans="31:32" x14ac:dyDescent="0.25">
      <c r="AE764921" s="34"/>
      <c r="AF764921" s="34"/>
    </row>
    <row r="764929" spans="31:32" x14ac:dyDescent="0.25">
      <c r="AE764929" s="36"/>
      <c r="AF764929" s="36"/>
    </row>
    <row r="765025" spans="31:32" x14ac:dyDescent="0.25">
      <c r="AE765025" s="34"/>
      <c r="AF765025" s="34"/>
    </row>
    <row r="765033" spans="31:32" x14ac:dyDescent="0.25">
      <c r="AE765033" s="36"/>
      <c r="AF765033" s="36"/>
    </row>
    <row r="765129" spans="31:32" x14ac:dyDescent="0.25">
      <c r="AE765129" s="34"/>
      <c r="AF765129" s="34"/>
    </row>
    <row r="765137" spans="31:32" x14ac:dyDescent="0.25">
      <c r="AE765137" s="36"/>
      <c r="AF765137" s="36"/>
    </row>
    <row r="765233" spans="31:32" x14ac:dyDescent="0.25">
      <c r="AE765233" s="34"/>
      <c r="AF765233" s="34"/>
    </row>
    <row r="765241" spans="31:32" x14ac:dyDescent="0.25">
      <c r="AE765241" s="36"/>
      <c r="AF765241" s="36"/>
    </row>
    <row r="765337" spans="31:32" x14ac:dyDescent="0.25">
      <c r="AE765337" s="34"/>
      <c r="AF765337" s="34"/>
    </row>
    <row r="765345" spans="31:32" x14ac:dyDescent="0.25">
      <c r="AE765345" s="36"/>
      <c r="AF765345" s="36"/>
    </row>
    <row r="765441" spans="31:32" x14ac:dyDescent="0.25">
      <c r="AE765441" s="34"/>
      <c r="AF765441" s="34"/>
    </row>
    <row r="765449" spans="31:32" x14ac:dyDescent="0.25">
      <c r="AE765449" s="36"/>
      <c r="AF765449" s="36"/>
    </row>
    <row r="765545" spans="31:32" x14ac:dyDescent="0.25">
      <c r="AE765545" s="34"/>
      <c r="AF765545" s="34"/>
    </row>
    <row r="765553" spans="31:32" x14ac:dyDescent="0.25">
      <c r="AE765553" s="36"/>
      <c r="AF765553" s="36"/>
    </row>
    <row r="765649" spans="31:32" x14ac:dyDescent="0.25">
      <c r="AE765649" s="34"/>
      <c r="AF765649" s="34"/>
    </row>
    <row r="765657" spans="31:32" x14ac:dyDescent="0.25">
      <c r="AE765657" s="36"/>
      <c r="AF765657" s="36"/>
    </row>
    <row r="765753" spans="31:32" x14ac:dyDescent="0.25">
      <c r="AE765753" s="34"/>
      <c r="AF765753" s="34"/>
    </row>
    <row r="765761" spans="31:32" x14ac:dyDescent="0.25">
      <c r="AE765761" s="36"/>
      <c r="AF765761" s="36"/>
    </row>
    <row r="765857" spans="31:32" x14ac:dyDescent="0.25">
      <c r="AE765857" s="34"/>
      <c r="AF765857" s="34"/>
    </row>
    <row r="765865" spans="31:32" x14ac:dyDescent="0.25">
      <c r="AE765865" s="36"/>
      <c r="AF765865" s="36"/>
    </row>
    <row r="765961" spans="31:32" x14ac:dyDescent="0.25">
      <c r="AE765961" s="34"/>
      <c r="AF765961" s="34"/>
    </row>
    <row r="765969" spans="31:32" x14ac:dyDescent="0.25">
      <c r="AE765969" s="36"/>
      <c r="AF765969" s="36"/>
    </row>
    <row r="766065" spans="31:32" x14ac:dyDescent="0.25">
      <c r="AE766065" s="34"/>
      <c r="AF766065" s="34"/>
    </row>
    <row r="766073" spans="31:32" x14ac:dyDescent="0.25">
      <c r="AE766073" s="36"/>
      <c r="AF766073" s="36"/>
    </row>
    <row r="766169" spans="31:32" x14ac:dyDescent="0.25">
      <c r="AE766169" s="34"/>
      <c r="AF766169" s="34"/>
    </row>
    <row r="766177" spans="31:32" x14ac:dyDescent="0.25">
      <c r="AE766177" s="36"/>
      <c r="AF766177" s="36"/>
    </row>
    <row r="766273" spans="31:32" x14ac:dyDescent="0.25">
      <c r="AE766273" s="34"/>
      <c r="AF766273" s="34"/>
    </row>
    <row r="766281" spans="31:32" x14ac:dyDescent="0.25">
      <c r="AE766281" s="36"/>
      <c r="AF766281" s="36"/>
    </row>
    <row r="766377" spans="31:32" x14ac:dyDescent="0.25">
      <c r="AE766377" s="34"/>
      <c r="AF766377" s="34"/>
    </row>
    <row r="766385" spans="31:32" x14ac:dyDescent="0.25">
      <c r="AE766385" s="36"/>
      <c r="AF766385" s="36"/>
    </row>
    <row r="766481" spans="31:32" x14ac:dyDescent="0.25">
      <c r="AE766481" s="34"/>
      <c r="AF766481" s="34"/>
    </row>
    <row r="766489" spans="31:32" x14ac:dyDescent="0.25">
      <c r="AE766489" s="36"/>
      <c r="AF766489" s="36"/>
    </row>
    <row r="766585" spans="31:32" x14ac:dyDescent="0.25">
      <c r="AE766585" s="34"/>
      <c r="AF766585" s="34"/>
    </row>
    <row r="766593" spans="31:32" x14ac:dyDescent="0.25">
      <c r="AE766593" s="36"/>
      <c r="AF766593" s="36"/>
    </row>
    <row r="766689" spans="31:32" x14ac:dyDescent="0.25">
      <c r="AE766689" s="34"/>
      <c r="AF766689" s="34"/>
    </row>
    <row r="766697" spans="31:32" x14ac:dyDescent="0.25">
      <c r="AE766697" s="36"/>
      <c r="AF766697" s="36"/>
    </row>
    <row r="766793" spans="31:32" x14ac:dyDescent="0.25">
      <c r="AE766793" s="34"/>
      <c r="AF766793" s="34"/>
    </row>
    <row r="766801" spans="31:32" x14ac:dyDescent="0.25">
      <c r="AE766801" s="36"/>
      <c r="AF766801" s="36"/>
    </row>
    <row r="766897" spans="31:32" x14ac:dyDescent="0.25">
      <c r="AE766897" s="34"/>
      <c r="AF766897" s="34"/>
    </row>
    <row r="766905" spans="31:32" x14ac:dyDescent="0.25">
      <c r="AE766905" s="36"/>
      <c r="AF766905" s="36"/>
    </row>
    <row r="767001" spans="31:32" x14ac:dyDescent="0.25">
      <c r="AE767001" s="34"/>
      <c r="AF767001" s="34"/>
    </row>
    <row r="767009" spans="31:32" x14ac:dyDescent="0.25">
      <c r="AE767009" s="36"/>
      <c r="AF767009" s="36"/>
    </row>
    <row r="767105" spans="31:32" x14ac:dyDescent="0.25">
      <c r="AE767105" s="34"/>
      <c r="AF767105" s="34"/>
    </row>
    <row r="767113" spans="31:32" x14ac:dyDescent="0.25">
      <c r="AE767113" s="36"/>
      <c r="AF767113" s="36"/>
    </row>
    <row r="767209" spans="31:32" x14ac:dyDescent="0.25">
      <c r="AE767209" s="34"/>
      <c r="AF767209" s="34"/>
    </row>
    <row r="767217" spans="31:32" x14ac:dyDescent="0.25">
      <c r="AE767217" s="36"/>
      <c r="AF767217" s="36"/>
    </row>
    <row r="767313" spans="31:32" x14ac:dyDescent="0.25">
      <c r="AE767313" s="34"/>
      <c r="AF767313" s="34"/>
    </row>
    <row r="767321" spans="31:32" x14ac:dyDescent="0.25">
      <c r="AE767321" s="36"/>
      <c r="AF767321" s="36"/>
    </row>
    <row r="767417" spans="31:32" x14ac:dyDescent="0.25">
      <c r="AE767417" s="34"/>
      <c r="AF767417" s="34"/>
    </row>
    <row r="767425" spans="31:32" x14ac:dyDescent="0.25">
      <c r="AE767425" s="36"/>
      <c r="AF767425" s="36"/>
    </row>
    <row r="767521" spans="31:32" x14ac:dyDescent="0.25">
      <c r="AE767521" s="34"/>
      <c r="AF767521" s="34"/>
    </row>
    <row r="767529" spans="31:32" x14ac:dyDescent="0.25">
      <c r="AE767529" s="36"/>
      <c r="AF767529" s="36"/>
    </row>
    <row r="767625" spans="31:32" x14ac:dyDescent="0.25">
      <c r="AE767625" s="34"/>
      <c r="AF767625" s="34"/>
    </row>
    <row r="767633" spans="31:32" x14ac:dyDescent="0.25">
      <c r="AE767633" s="36"/>
      <c r="AF767633" s="36"/>
    </row>
    <row r="767729" spans="31:32" x14ac:dyDescent="0.25">
      <c r="AE767729" s="34"/>
      <c r="AF767729" s="34"/>
    </row>
    <row r="767737" spans="31:32" x14ac:dyDescent="0.25">
      <c r="AE767737" s="36"/>
      <c r="AF767737" s="36"/>
    </row>
    <row r="767833" spans="31:32" x14ac:dyDescent="0.25">
      <c r="AE767833" s="34"/>
      <c r="AF767833" s="34"/>
    </row>
    <row r="767841" spans="31:32" x14ac:dyDescent="0.25">
      <c r="AE767841" s="36"/>
      <c r="AF767841" s="36"/>
    </row>
    <row r="767937" spans="31:32" x14ac:dyDescent="0.25">
      <c r="AE767937" s="34"/>
      <c r="AF767937" s="34"/>
    </row>
    <row r="767945" spans="31:32" x14ac:dyDescent="0.25">
      <c r="AE767945" s="36"/>
      <c r="AF767945" s="36"/>
    </row>
    <row r="768041" spans="31:32" x14ac:dyDescent="0.25">
      <c r="AE768041" s="34"/>
      <c r="AF768041" s="34"/>
    </row>
    <row r="768049" spans="31:32" x14ac:dyDescent="0.25">
      <c r="AE768049" s="36"/>
      <c r="AF768049" s="36"/>
    </row>
    <row r="768145" spans="31:32" x14ac:dyDescent="0.25">
      <c r="AE768145" s="34"/>
      <c r="AF768145" s="34"/>
    </row>
    <row r="768153" spans="31:32" x14ac:dyDescent="0.25">
      <c r="AE768153" s="36"/>
      <c r="AF768153" s="36"/>
    </row>
    <row r="768249" spans="31:32" x14ac:dyDescent="0.25">
      <c r="AE768249" s="34"/>
      <c r="AF768249" s="34"/>
    </row>
    <row r="768257" spans="31:32" x14ac:dyDescent="0.25">
      <c r="AE768257" s="36"/>
      <c r="AF768257" s="36"/>
    </row>
    <row r="768353" spans="31:32" x14ac:dyDescent="0.25">
      <c r="AE768353" s="34"/>
      <c r="AF768353" s="34"/>
    </row>
    <row r="768361" spans="31:32" x14ac:dyDescent="0.25">
      <c r="AE768361" s="36"/>
      <c r="AF768361" s="36"/>
    </row>
    <row r="768457" spans="31:32" x14ac:dyDescent="0.25">
      <c r="AE768457" s="34"/>
      <c r="AF768457" s="34"/>
    </row>
    <row r="768465" spans="31:32" x14ac:dyDescent="0.25">
      <c r="AE768465" s="36"/>
      <c r="AF768465" s="36"/>
    </row>
    <row r="768561" spans="31:32" x14ac:dyDescent="0.25">
      <c r="AE768561" s="34"/>
      <c r="AF768561" s="34"/>
    </row>
    <row r="768569" spans="31:32" x14ac:dyDescent="0.25">
      <c r="AE768569" s="36"/>
      <c r="AF768569" s="36"/>
    </row>
    <row r="768665" spans="31:32" x14ac:dyDescent="0.25">
      <c r="AE768665" s="34"/>
      <c r="AF768665" s="34"/>
    </row>
    <row r="768673" spans="31:32" x14ac:dyDescent="0.25">
      <c r="AE768673" s="36"/>
      <c r="AF768673" s="36"/>
    </row>
    <row r="768769" spans="31:32" x14ac:dyDescent="0.25">
      <c r="AE768769" s="34"/>
      <c r="AF768769" s="34"/>
    </row>
    <row r="768777" spans="31:32" x14ac:dyDescent="0.25">
      <c r="AE768777" s="36"/>
      <c r="AF768777" s="36"/>
    </row>
    <row r="768873" spans="31:32" x14ac:dyDescent="0.25">
      <c r="AE768873" s="34"/>
      <c r="AF768873" s="34"/>
    </row>
    <row r="768881" spans="31:32" x14ac:dyDescent="0.25">
      <c r="AE768881" s="36"/>
      <c r="AF768881" s="36"/>
    </row>
    <row r="768977" spans="31:32" x14ac:dyDescent="0.25">
      <c r="AE768977" s="34"/>
      <c r="AF768977" s="34"/>
    </row>
    <row r="768985" spans="31:32" x14ac:dyDescent="0.25">
      <c r="AE768985" s="36"/>
      <c r="AF768985" s="36"/>
    </row>
    <row r="769081" spans="31:32" x14ac:dyDescent="0.25">
      <c r="AE769081" s="34"/>
      <c r="AF769081" s="34"/>
    </row>
    <row r="769089" spans="31:32" x14ac:dyDescent="0.25">
      <c r="AE769089" s="36"/>
      <c r="AF769089" s="36"/>
    </row>
    <row r="769185" spans="31:32" x14ac:dyDescent="0.25">
      <c r="AE769185" s="34"/>
      <c r="AF769185" s="34"/>
    </row>
    <row r="769193" spans="31:32" x14ac:dyDescent="0.25">
      <c r="AE769193" s="36"/>
      <c r="AF769193" s="36"/>
    </row>
    <row r="769289" spans="31:32" x14ac:dyDescent="0.25">
      <c r="AE769289" s="34"/>
      <c r="AF769289" s="34"/>
    </row>
    <row r="769297" spans="31:32" x14ac:dyDescent="0.25">
      <c r="AE769297" s="36"/>
      <c r="AF769297" s="36"/>
    </row>
    <row r="769393" spans="31:32" x14ac:dyDescent="0.25">
      <c r="AE769393" s="34"/>
      <c r="AF769393" s="34"/>
    </row>
    <row r="769401" spans="31:32" x14ac:dyDescent="0.25">
      <c r="AE769401" s="36"/>
      <c r="AF769401" s="36"/>
    </row>
    <row r="769497" spans="31:32" x14ac:dyDescent="0.25">
      <c r="AE769497" s="34"/>
      <c r="AF769497" s="34"/>
    </row>
    <row r="769505" spans="31:32" x14ac:dyDescent="0.25">
      <c r="AE769505" s="36"/>
      <c r="AF769505" s="36"/>
    </row>
    <row r="769601" spans="31:32" x14ac:dyDescent="0.25">
      <c r="AE769601" s="34"/>
      <c r="AF769601" s="34"/>
    </row>
    <row r="769609" spans="31:32" x14ac:dyDescent="0.25">
      <c r="AE769609" s="36"/>
      <c r="AF769609" s="36"/>
    </row>
    <row r="769705" spans="31:32" x14ac:dyDescent="0.25">
      <c r="AE769705" s="34"/>
      <c r="AF769705" s="34"/>
    </row>
    <row r="769713" spans="31:32" x14ac:dyDescent="0.25">
      <c r="AE769713" s="36"/>
      <c r="AF769713" s="36"/>
    </row>
    <row r="769809" spans="31:32" x14ac:dyDescent="0.25">
      <c r="AE769809" s="34"/>
      <c r="AF769809" s="34"/>
    </row>
    <row r="769817" spans="31:32" x14ac:dyDescent="0.25">
      <c r="AE769817" s="36"/>
      <c r="AF769817" s="36"/>
    </row>
    <row r="769913" spans="31:32" x14ac:dyDescent="0.25">
      <c r="AE769913" s="34"/>
      <c r="AF769913" s="34"/>
    </row>
    <row r="769921" spans="31:32" x14ac:dyDescent="0.25">
      <c r="AE769921" s="36"/>
      <c r="AF769921" s="36"/>
    </row>
    <row r="770017" spans="31:32" x14ac:dyDescent="0.25">
      <c r="AE770017" s="34"/>
      <c r="AF770017" s="34"/>
    </row>
    <row r="770025" spans="31:32" x14ac:dyDescent="0.25">
      <c r="AE770025" s="36"/>
      <c r="AF770025" s="36"/>
    </row>
    <row r="770121" spans="31:32" x14ac:dyDescent="0.25">
      <c r="AE770121" s="34"/>
      <c r="AF770121" s="34"/>
    </row>
    <row r="770129" spans="31:32" x14ac:dyDescent="0.25">
      <c r="AE770129" s="36"/>
      <c r="AF770129" s="36"/>
    </row>
    <row r="770225" spans="31:32" x14ac:dyDescent="0.25">
      <c r="AE770225" s="34"/>
      <c r="AF770225" s="34"/>
    </row>
    <row r="770233" spans="31:32" x14ac:dyDescent="0.25">
      <c r="AE770233" s="36"/>
      <c r="AF770233" s="36"/>
    </row>
    <row r="770329" spans="31:32" x14ac:dyDescent="0.25">
      <c r="AE770329" s="34"/>
      <c r="AF770329" s="34"/>
    </row>
    <row r="770337" spans="31:32" x14ac:dyDescent="0.25">
      <c r="AE770337" s="36"/>
      <c r="AF770337" s="36"/>
    </row>
    <row r="770433" spans="31:32" x14ac:dyDescent="0.25">
      <c r="AE770433" s="34"/>
      <c r="AF770433" s="34"/>
    </row>
    <row r="770441" spans="31:32" x14ac:dyDescent="0.25">
      <c r="AE770441" s="36"/>
      <c r="AF770441" s="36"/>
    </row>
    <row r="770537" spans="31:32" x14ac:dyDescent="0.25">
      <c r="AE770537" s="34"/>
      <c r="AF770537" s="34"/>
    </row>
    <row r="770545" spans="31:32" x14ac:dyDescent="0.25">
      <c r="AE770545" s="36"/>
      <c r="AF770545" s="36"/>
    </row>
    <row r="770641" spans="31:32" x14ac:dyDescent="0.25">
      <c r="AE770641" s="34"/>
      <c r="AF770641" s="34"/>
    </row>
    <row r="770649" spans="31:32" x14ac:dyDescent="0.25">
      <c r="AE770649" s="36"/>
      <c r="AF770649" s="36"/>
    </row>
    <row r="770745" spans="31:32" x14ac:dyDescent="0.25">
      <c r="AE770745" s="34"/>
      <c r="AF770745" s="34"/>
    </row>
    <row r="770753" spans="31:32" x14ac:dyDescent="0.25">
      <c r="AE770753" s="36"/>
      <c r="AF770753" s="36"/>
    </row>
    <row r="770849" spans="31:32" x14ac:dyDescent="0.25">
      <c r="AE770849" s="34"/>
      <c r="AF770849" s="34"/>
    </row>
    <row r="770857" spans="31:32" x14ac:dyDescent="0.25">
      <c r="AE770857" s="36"/>
      <c r="AF770857" s="36"/>
    </row>
    <row r="770953" spans="31:32" x14ac:dyDescent="0.25">
      <c r="AE770953" s="34"/>
      <c r="AF770953" s="34"/>
    </row>
    <row r="770961" spans="31:32" x14ac:dyDescent="0.25">
      <c r="AE770961" s="36"/>
      <c r="AF770961" s="36"/>
    </row>
    <row r="771057" spans="31:32" x14ac:dyDescent="0.25">
      <c r="AE771057" s="34"/>
      <c r="AF771057" s="34"/>
    </row>
    <row r="771065" spans="31:32" x14ac:dyDescent="0.25">
      <c r="AE771065" s="36"/>
      <c r="AF771065" s="36"/>
    </row>
    <row r="771161" spans="31:32" x14ac:dyDescent="0.25">
      <c r="AE771161" s="34"/>
      <c r="AF771161" s="34"/>
    </row>
    <row r="771169" spans="31:32" x14ac:dyDescent="0.25">
      <c r="AE771169" s="36"/>
      <c r="AF771169" s="36"/>
    </row>
    <row r="771265" spans="31:32" x14ac:dyDescent="0.25">
      <c r="AE771265" s="34"/>
      <c r="AF771265" s="34"/>
    </row>
    <row r="771273" spans="31:32" x14ac:dyDescent="0.25">
      <c r="AE771273" s="36"/>
      <c r="AF771273" s="36"/>
    </row>
    <row r="771369" spans="31:32" x14ac:dyDescent="0.25">
      <c r="AE771369" s="34"/>
      <c r="AF771369" s="34"/>
    </row>
    <row r="771377" spans="31:32" x14ac:dyDescent="0.25">
      <c r="AE771377" s="36"/>
      <c r="AF771377" s="36"/>
    </row>
    <row r="771473" spans="31:32" x14ac:dyDescent="0.25">
      <c r="AE771473" s="34"/>
      <c r="AF771473" s="34"/>
    </row>
    <row r="771481" spans="31:32" x14ac:dyDescent="0.25">
      <c r="AE771481" s="36"/>
      <c r="AF771481" s="36"/>
    </row>
    <row r="771577" spans="31:32" x14ac:dyDescent="0.25">
      <c r="AE771577" s="34"/>
      <c r="AF771577" s="34"/>
    </row>
    <row r="771585" spans="31:32" x14ac:dyDescent="0.25">
      <c r="AE771585" s="36"/>
      <c r="AF771585" s="36"/>
    </row>
    <row r="771681" spans="31:32" x14ac:dyDescent="0.25">
      <c r="AE771681" s="34"/>
      <c r="AF771681" s="34"/>
    </row>
    <row r="771689" spans="31:32" x14ac:dyDescent="0.25">
      <c r="AE771689" s="36"/>
      <c r="AF771689" s="36"/>
    </row>
    <row r="771785" spans="31:32" x14ac:dyDescent="0.25">
      <c r="AE771785" s="34"/>
      <c r="AF771785" s="34"/>
    </row>
    <row r="771793" spans="31:32" x14ac:dyDescent="0.25">
      <c r="AE771793" s="36"/>
      <c r="AF771793" s="36"/>
    </row>
    <row r="771889" spans="31:32" x14ac:dyDescent="0.25">
      <c r="AE771889" s="34"/>
      <c r="AF771889" s="34"/>
    </row>
    <row r="771897" spans="31:32" x14ac:dyDescent="0.25">
      <c r="AE771897" s="36"/>
      <c r="AF771897" s="36"/>
    </row>
    <row r="771993" spans="31:32" x14ac:dyDescent="0.25">
      <c r="AE771993" s="34"/>
      <c r="AF771993" s="34"/>
    </row>
    <row r="772001" spans="31:32" x14ac:dyDescent="0.25">
      <c r="AE772001" s="36"/>
      <c r="AF772001" s="36"/>
    </row>
    <row r="772097" spans="31:32" x14ac:dyDescent="0.25">
      <c r="AE772097" s="34"/>
      <c r="AF772097" s="34"/>
    </row>
    <row r="772105" spans="31:32" x14ac:dyDescent="0.25">
      <c r="AE772105" s="36"/>
      <c r="AF772105" s="36"/>
    </row>
    <row r="772201" spans="31:32" x14ac:dyDescent="0.25">
      <c r="AE772201" s="34"/>
      <c r="AF772201" s="34"/>
    </row>
    <row r="772209" spans="31:32" x14ac:dyDescent="0.25">
      <c r="AE772209" s="36"/>
      <c r="AF772209" s="36"/>
    </row>
    <row r="772305" spans="31:32" x14ac:dyDescent="0.25">
      <c r="AE772305" s="34"/>
      <c r="AF772305" s="34"/>
    </row>
    <row r="772313" spans="31:32" x14ac:dyDescent="0.25">
      <c r="AE772313" s="36"/>
      <c r="AF772313" s="36"/>
    </row>
    <row r="772409" spans="31:32" x14ac:dyDescent="0.25">
      <c r="AE772409" s="34"/>
      <c r="AF772409" s="34"/>
    </row>
    <row r="772417" spans="31:32" x14ac:dyDescent="0.25">
      <c r="AE772417" s="36"/>
      <c r="AF772417" s="36"/>
    </row>
    <row r="772513" spans="31:32" x14ac:dyDescent="0.25">
      <c r="AE772513" s="34"/>
      <c r="AF772513" s="34"/>
    </row>
    <row r="772521" spans="31:32" x14ac:dyDescent="0.25">
      <c r="AE772521" s="36"/>
      <c r="AF772521" s="36"/>
    </row>
    <row r="772617" spans="31:32" x14ac:dyDescent="0.25">
      <c r="AE772617" s="34"/>
      <c r="AF772617" s="34"/>
    </row>
    <row r="772625" spans="31:32" x14ac:dyDescent="0.25">
      <c r="AE772625" s="36"/>
      <c r="AF772625" s="36"/>
    </row>
    <row r="772721" spans="31:32" x14ac:dyDescent="0.25">
      <c r="AE772721" s="34"/>
      <c r="AF772721" s="34"/>
    </row>
    <row r="772729" spans="31:32" x14ac:dyDescent="0.25">
      <c r="AE772729" s="36"/>
      <c r="AF772729" s="36"/>
    </row>
    <row r="772825" spans="31:32" x14ac:dyDescent="0.25">
      <c r="AE772825" s="34"/>
      <c r="AF772825" s="34"/>
    </row>
    <row r="772833" spans="31:32" x14ac:dyDescent="0.25">
      <c r="AE772833" s="36"/>
      <c r="AF772833" s="36"/>
    </row>
    <row r="772929" spans="31:32" x14ac:dyDescent="0.25">
      <c r="AE772929" s="34"/>
      <c r="AF772929" s="34"/>
    </row>
    <row r="772937" spans="31:32" x14ac:dyDescent="0.25">
      <c r="AE772937" s="36"/>
      <c r="AF772937" s="36"/>
    </row>
    <row r="773033" spans="31:32" x14ac:dyDescent="0.25">
      <c r="AE773033" s="34"/>
      <c r="AF773033" s="34"/>
    </row>
    <row r="773041" spans="31:32" x14ac:dyDescent="0.25">
      <c r="AE773041" s="36"/>
      <c r="AF773041" s="36"/>
    </row>
    <row r="773137" spans="31:32" x14ac:dyDescent="0.25">
      <c r="AE773137" s="34"/>
      <c r="AF773137" s="34"/>
    </row>
    <row r="773145" spans="31:32" x14ac:dyDescent="0.25">
      <c r="AE773145" s="36"/>
      <c r="AF773145" s="36"/>
    </row>
    <row r="773241" spans="31:32" x14ac:dyDescent="0.25">
      <c r="AE773241" s="34"/>
      <c r="AF773241" s="34"/>
    </row>
    <row r="773249" spans="31:32" x14ac:dyDescent="0.25">
      <c r="AE773249" s="36"/>
      <c r="AF773249" s="36"/>
    </row>
    <row r="773345" spans="31:32" x14ac:dyDescent="0.25">
      <c r="AE773345" s="34"/>
      <c r="AF773345" s="34"/>
    </row>
    <row r="773353" spans="31:32" x14ac:dyDescent="0.25">
      <c r="AE773353" s="36"/>
      <c r="AF773353" s="36"/>
    </row>
    <row r="773449" spans="31:32" x14ac:dyDescent="0.25">
      <c r="AE773449" s="34"/>
      <c r="AF773449" s="34"/>
    </row>
    <row r="773457" spans="31:32" x14ac:dyDescent="0.25">
      <c r="AE773457" s="36"/>
      <c r="AF773457" s="36"/>
    </row>
    <row r="773553" spans="31:32" x14ac:dyDescent="0.25">
      <c r="AE773553" s="34"/>
      <c r="AF773553" s="34"/>
    </row>
    <row r="773561" spans="31:32" x14ac:dyDescent="0.25">
      <c r="AE773561" s="36"/>
      <c r="AF773561" s="36"/>
    </row>
    <row r="773657" spans="31:32" x14ac:dyDescent="0.25">
      <c r="AE773657" s="34"/>
      <c r="AF773657" s="34"/>
    </row>
    <row r="773665" spans="31:32" x14ac:dyDescent="0.25">
      <c r="AE773665" s="36"/>
      <c r="AF773665" s="36"/>
    </row>
    <row r="773761" spans="31:32" x14ac:dyDescent="0.25">
      <c r="AE773761" s="34"/>
      <c r="AF773761" s="34"/>
    </row>
    <row r="773769" spans="31:32" x14ac:dyDescent="0.25">
      <c r="AE773769" s="36"/>
      <c r="AF773769" s="36"/>
    </row>
    <row r="773865" spans="31:32" x14ac:dyDescent="0.25">
      <c r="AE773865" s="34"/>
      <c r="AF773865" s="34"/>
    </row>
    <row r="773873" spans="31:32" x14ac:dyDescent="0.25">
      <c r="AE773873" s="36"/>
      <c r="AF773873" s="36"/>
    </row>
    <row r="773969" spans="31:32" x14ac:dyDescent="0.25">
      <c r="AE773969" s="34"/>
      <c r="AF773969" s="34"/>
    </row>
    <row r="773977" spans="31:32" x14ac:dyDescent="0.25">
      <c r="AE773977" s="36"/>
      <c r="AF773977" s="36"/>
    </row>
    <row r="774073" spans="31:32" x14ac:dyDescent="0.25">
      <c r="AE774073" s="34"/>
      <c r="AF774073" s="34"/>
    </row>
    <row r="774081" spans="31:32" x14ac:dyDescent="0.25">
      <c r="AE774081" s="36"/>
      <c r="AF774081" s="36"/>
    </row>
    <row r="774177" spans="31:32" x14ac:dyDescent="0.25">
      <c r="AE774177" s="34"/>
      <c r="AF774177" s="34"/>
    </row>
    <row r="774185" spans="31:32" x14ac:dyDescent="0.25">
      <c r="AE774185" s="36"/>
      <c r="AF774185" s="36"/>
    </row>
    <row r="774281" spans="31:32" x14ac:dyDescent="0.25">
      <c r="AE774281" s="34"/>
      <c r="AF774281" s="34"/>
    </row>
    <row r="774289" spans="31:32" x14ac:dyDescent="0.25">
      <c r="AE774289" s="36"/>
      <c r="AF774289" s="36"/>
    </row>
    <row r="774385" spans="31:32" x14ac:dyDescent="0.25">
      <c r="AE774385" s="34"/>
      <c r="AF774385" s="34"/>
    </row>
    <row r="774393" spans="31:32" x14ac:dyDescent="0.25">
      <c r="AE774393" s="36"/>
      <c r="AF774393" s="36"/>
    </row>
    <row r="774489" spans="31:32" x14ac:dyDescent="0.25">
      <c r="AE774489" s="34"/>
      <c r="AF774489" s="34"/>
    </row>
    <row r="774497" spans="31:32" x14ac:dyDescent="0.25">
      <c r="AE774497" s="36"/>
      <c r="AF774497" s="36"/>
    </row>
    <row r="774593" spans="31:32" x14ac:dyDescent="0.25">
      <c r="AE774593" s="34"/>
      <c r="AF774593" s="34"/>
    </row>
    <row r="774601" spans="31:32" x14ac:dyDescent="0.25">
      <c r="AE774601" s="36"/>
      <c r="AF774601" s="36"/>
    </row>
    <row r="774697" spans="31:32" x14ac:dyDescent="0.25">
      <c r="AE774697" s="34"/>
      <c r="AF774697" s="34"/>
    </row>
    <row r="774705" spans="31:32" x14ac:dyDescent="0.25">
      <c r="AE774705" s="36"/>
      <c r="AF774705" s="36"/>
    </row>
    <row r="774801" spans="31:32" x14ac:dyDescent="0.25">
      <c r="AE774801" s="34"/>
      <c r="AF774801" s="34"/>
    </row>
    <row r="774809" spans="31:32" x14ac:dyDescent="0.25">
      <c r="AE774809" s="36"/>
      <c r="AF774809" s="36"/>
    </row>
    <row r="774905" spans="31:32" x14ac:dyDescent="0.25">
      <c r="AE774905" s="34"/>
      <c r="AF774905" s="34"/>
    </row>
    <row r="774913" spans="31:32" x14ac:dyDescent="0.25">
      <c r="AE774913" s="36"/>
      <c r="AF774913" s="36"/>
    </row>
    <row r="775009" spans="31:32" x14ac:dyDescent="0.25">
      <c r="AE775009" s="34"/>
      <c r="AF775009" s="34"/>
    </row>
    <row r="775017" spans="31:32" x14ac:dyDescent="0.25">
      <c r="AE775017" s="36"/>
      <c r="AF775017" s="36"/>
    </row>
    <row r="775113" spans="31:32" x14ac:dyDescent="0.25">
      <c r="AE775113" s="34"/>
      <c r="AF775113" s="34"/>
    </row>
    <row r="775121" spans="31:32" x14ac:dyDescent="0.25">
      <c r="AE775121" s="36"/>
      <c r="AF775121" s="36"/>
    </row>
    <row r="775217" spans="31:32" x14ac:dyDescent="0.25">
      <c r="AE775217" s="34"/>
      <c r="AF775217" s="34"/>
    </row>
    <row r="775225" spans="31:32" x14ac:dyDescent="0.25">
      <c r="AE775225" s="36"/>
      <c r="AF775225" s="36"/>
    </row>
    <row r="775321" spans="31:32" x14ac:dyDescent="0.25">
      <c r="AE775321" s="34"/>
      <c r="AF775321" s="34"/>
    </row>
    <row r="775329" spans="31:32" x14ac:dyDescent="0.25">
      <c r="AE775329" s="36"/>
      <c r="AF775329" s="36"/>
    </row>
    <row r="775425" spans="31:32" x14ac:dyDescent="0.25">
      <c r="AE775425" s="34"/>
      <c r="AF775425" s="34"/>
    </row>
    <row r="775433" spans="31:32" x14ac:dyDescent="0.25">
      <c r="AE775433" s="36"/>
      <c r="AF775433" s="36"/>
    </row>
    <row r="775529" spans="31:32" x14ac:dyDescent="0.25">
      <c r="AE775529" s="34"/>
      <c r="AF775529" s="34"/>
    </row>
    <row r="775537" spans="31:32" x14ac:dyDescent="0.25">
      <c r="AE775537" s="36"/>
      <c r="AF775537" s="36"/>
    </row>
    <row r="775633" spans="31:32" x14ac:dyDescent="0.25">
      <c r="AE775633" s="34"/>
      <c r="AF775633" s="34"/>
    </row>
    <row r="775641" spans="31:32" x14ac:dyDescent="0.25">
      <c r="AE775641" s="36"/>
      <c r="AF775641" s="36"/>
    </row>
    <row r="775737" spans="31:32" x14ac:dyDescent="0.25">
      <c r="AE775737" s="34"/>
      <c r="AF775737" s="34"/>
    </row>
    <row r="775745" spans="31:32" x14ac:dyDescent="0.25">
      <c r="AE775745" s="36"/>
      <c r="AF775745" s="36"/>
    </row>
    <row r="775841" spans="31:32" x14ac:dyDescent="0.25">
      <c r="AE775841" s="34"/>
      <c r="AF775841" s="34"/>
    </row>
    <row r="775849" spans="31:32" x14ac:dyDescent="0.25">
      <c r="AE775849" s="36"/>
      <c r="AF775849" s="36"/>
    </row>
    <row r="775945" spans="31:32" x14ac:dyDescent="0.25">
      <c r="AE775945" s="34"/>
      <c r="AF775945" s="34"/>
    </row>
    <row r="775953" spans="31:32" x14ac:dyDescent="0.25">
      <c r="AE775953" s="36"/>
      <c r="AF775953" s="36"/>
    </row>
    <row r="776049" spans="31:32" x14ac:dyDescent="0.25">
      <c r="AE776049" s="34"/>
      <c r="AF776049" s="34"/>
    </row>
    <row r="776057" spans="31:32" x14ac:dyDescent="0.25">
      <c r="AE776057" s="36"/>
      <c r="AF776057" s="36"/>
    </row>
    <row r="776153" spans="31:32" x14ac:dyDescent="0.25">
      <c r="AE776153" s="34"/>
      <c r="AF776153" s="34"/>
    </row>
    <row r="776161" spans="31:32" x14ac:dyDescent="0.25">
      <c r="AE776161" s="36"/>
      <c r="AF776161" s="36"/>
    </row>
    <row r="776257" spans="31:32" x14ac:dyDescent="0.25">
      <c r="AE776257" s="34"/>
      <c r="AF776257" s="34"/>
    </row>
    <row r="776265" spans="31:32" x14ac:dyDescent="0.25">
      <c r="AE776265" s="36"/>
      <c r="AF776265" s="36"/>
    </row>
    <row r="776361" spans="31:32" x14ac:dyDescent="0.25">
      <c r="AE776361" s="34"/>
      <c r="AF776361" s="34"/>
    </row>
    <row r="776369" spans="31:32" x14ac:dyDescent="0.25">
      <c r="AE776369" s="36"/>
      <c r="AF776369" s="36"/>
    </row>
    <row r="776465" spans="31:32" x14ac:dyDescent="0.25">
      <c r="AE776465" s="34"/>
      <c r="AF776465" s="34"/>
    </row>
    <row r="776473" spans="31:32" x14ac:dyDescent="0.25">
      <c r="AE776473" s="36"/>
      <c r="AF776473" s="36"/>
    </row>
    <row r="776569" spans="31:32" x14ac:dyDescent="0.25">
      <c r="AE776569" s="34"/>
      <c r="AF776569" s="34"/>
    </row>
    <row r="776577" spans="31:32" x14ac:dyDescent="0.25">
      <c r="AE776577" s="36"/>
      <c r="AF776577" s="36"/>
    </row>
    <row r="776673" spans="31:32" x14ac:dyDescent="0.25">
      <c r="AE776673" s="34"/>
      <c r="AF776673" s="34"/>
    </row>
    <row r="776681" spans="31:32" x14ac:dyDescent="0.25">
      <c r="AE776681" s="36"/>
      <c r="AF776681" s="36"/>
    </row>
    <row r="776777" spans="31:32" x14ac:dyDescent="0.25">
      <c r="AE776777" s="34"/>
      <c r="AF776777" s="34"/>
    </row>
    <row r="776785" spans="31:32" x14ac:dyDescent="0.25">
      <c r="AE776785" s="36"/>
      <c r="AF776785" s="36"/>
    </row>
    <row r="776881" spans="31:32" x14ac:dyDescent="0.25">
      <c r="AE776881" s="34"/>
      <c r="AF776881" s="34"/>
    </row>
    <row r="776889" spans="31:32" x14ac:dyDescent="0.25">
      <c r="AE776889" s="36"/>
      <c r="AF776889" s="36"/>
    </row>
    <row r="776985" spans="31:32" x14ac:dyDescent="0.25">
      <c r="AE776985" s="34"/>
      <c r="AF776985" s="34"/>
    </row>
    <row r="776993" spans="31:32" x14ac:dyDescent="0.25">
      <c r="AE776993" s="36"/>
      <c r="AF776993" s="36"/>
    </row>
    <row r="777089" spans="31:32" x14ac:dyDescent="0.25">
      <c r="AE777089" s="34"/>
      <c r="AF777089" s="34"/>
    </row>
    <row r="777097" spans="31:32" x14ac:dyDescent="0.25">
      <c r="AE777097" s="36"/>
      <c r="AF777097" s="36"/>
    </row>
    <row r="777193" spans="31:32" x14ac:dyDescent="0.25">
      <c r="AE777193" s="34"/>
      <c r="AF777193" s="34"/>
    </row>
    <row r="777201" spans="31:32" x14ac:dyDescent="0.25">
      <c r="AE777201" s="36"/>
      <c r="AF777201" s="36"/>
    </row>
    <row r="777297" spans="31:32" x14ac:dyDescent="0.25">
      <c r="AE777297" s="34"/>
      <c r="AF777297" s="34"/>
    </row>
    <row r="777305" spans="31:32" x14ac:dyDescent="0.25">
      <c r="AE777305" s="36"/>
      <c r="AF777305" s="36"/>
    </row>
    <row r="777401" spans="31:32" x14ac:dyDescent="0.25">
      <c r="AE777401" s="34"/>
      <c r="AF777401" s="34"/>
    </row>
    <row r="777409" spans="31:32" x14ac:dyDescent="0.25">
      <c r="AE777409" s="36"/>
      <c r="AF777409" s="36"/>
    </row>
    <row r="777505" spans="31:32" x14ac:dyDescent="0.25">
      <c r="AE777505" s="34"/>
      <c r="AF777505" s="34"/>
    </row>
    <row r="777513" spans="31:32" x14ac:dyDescent="0.25">
      <c r="AE777513" s="36"/>
      <c r="AF777513" s="36"/>
    </row>
    <row r="777609" spans="31:32" x14ac:dyDescent="0.25">
      <c r="AE777609" s="34"/>
      <c r="AF777609" s="34"/>
    </row>
    <row r="777617" spans="31:32" x14ac:dyDescent="0.25">
      <c r="AE777617" s="36"/>
      <c r="AF777617" s="36"/>
    </row>
    <row r="777713" spans="31:32" x14ac:dyDescent="0.25">
      <c r="AE777713" s="34"/>
      <c r="AF777713" s="34"/>
    </row>
    <row r="777721" spans="31:32" x14ac:dyDescent="0.25">
      <c r="AE777721" s="36"/>
      <c r="AF777721" s="36"/>
    </row>
    <row r="777817" spans="31:32" x14ac:dyDescent="0.25">
      <c r="AE777817" s="34"/>
      <c r="AF777817" s="34"/>
    </row>
    <row r="777825" spans="31:32" x14ac:dyDescent="0.25">
      <c r="AE777825" s="36"/>
      <c r="AF777825" s="36"/>
    </row>
    <row r="777921" spans="31:32" x14ac:dyDescent="0.25">
      <c r="AE777921" s="34"/>
      <c r="AF777921" s="34"/>
    </row>
    <row r="777929" spans="31:32" x14ac:dyDescent="0.25">
      <c r="AE777929" s="36"/>
      <c r="AF777929" s="36"/>
    </row>
    <row r="778025" spans="31:32" x14ac:dyDescent="0.25">
      <c r="AE778025" s="34"/>
      <c r="AF778025" s="34"/>
    </row>
    <row r="778033" spans="31:32" x14ac:dyDescent="0.25">
      <c r="AE778033" s="36"/>
      <c r="AF778033" s="36"/>
    </row>
    <row r="778129" spans="31:32" x14ac:dyDescent="0.25">
      <c r="AE778129" s="34"/>
      <c r="AF778129" s="34"/>
    </row>
    <row r="778137" spans="31:32" x14ac:dyDescent="0.25">
      <c r="AE778137" s="36"/>
      <c r="AF778137" s="36"/>
    </row>
    <row r="778233" spans="31:32" x14ac:dyDescent="0.25">
      <c r="AE778233" s="34"/>
      <c r="AF778233" s="34"/>
    </row>
    <row r="778241" spans="31:32" x14ac:dyDescent="0.25">
      <c r="AE778241" s="36"/>
      <c r="AF778241" s="36"/>
    </row>
    <row r="778337" spans="31:32" x14ac:dyDescent="0.25">
      <c r="AE778337" s="34"/>
      <c r="AF778337" s="34"/>
    </row>
    <row r="778345" spans="31:32" x14ac:dyDescent="0.25">
      <c r="AE778345" s="36"/>
      <c r="AF778345" s="36"/>
    </row>
    <row r="778441" spans="31:32" x14ac:dyDescent="0.25">
      <c r="AE778441" s="34"/>
      <c r="AF778441" s="34"/>
    </row>
    <row r="778449" spans="31:32" x14ac:dyDescent="0.25">
      <c r="AE778449" s="36"/>
      <c r="AF778449" s="36"/>
    </row>
    <row r="778545" spans="31:32" x14ac:dyDescent="0.25">
      <c r="AE778545" s="34"/>
      <c r="AF778545" s="34"/>
    </row>
    <row r="778553" spans="31:32" x14ac:dyDescent="0.25">
      <c r="AE778553" s="36"/>
      <c r="AF778553" s="36"/>
    </row>
    <row r="778649" spans="31:32" x14ac:dyDescent="0.25">
      <c r="AE778649" s="34"/>
      <c r="AF778649" s="34"/>
    </row>
    <row r="778657" spans="31:32" x14ac:dyDescent="0.25">
      <c r="AE778657" s="36"/>
      <c r="AF778657" s="36"/>
    </row>
    <row r="778753" spans="31:32" x14ac:dyDescent="0.25">
      <c r="AE778753" s="34"/>
      <c r="AF778753" s="34"/>
    </row>
    <row r="778761" spans="31:32" x14ac:dyDescent="0.25">
      <c r="AE778761" s="36"/>
      <c r="AF778761" s="36"/>
    </row>
    <row r="778857" spans="31:32" x14ac:dyDescent="0.25">
      <c r="AE778857" s="34"/>
      <c r="AF778857" s="34"/>
    </row>
    <row r="778865" spans="31:32" x14ac:dyDescent="0.25">
      <c r="AE778865" s="36"/>
      <c r="AF778865" s="36"/>
    </row>
    <row r="778961" spans="31:32" x14ac:dyDescent="0.25">
      <c r="AE778961" s="34"/>
      <c r="AF778961" s="34"/>
    </row>
    <row r="778969" spans="31:32" x14ac:dyDescent="0.25">
      <c r="AE778969" s="36"/>
      <c r="AF778969" s="36"/>
    </row>
    <row r="779065" spans="31:32" x14ac:dyDescent="0.25">
      <c r="AE779065" s="34"/>
      <c r="AF779065" s="34"/>
    </row>
    <row r="779073" spans="31:32" x14ac:dyDescent="0.25">
      <c r="AE779073" s="36"/>
      <c r="AF779073" s="36"/>
    </row>
    <row r="779169" spans="31:32" x14ac:dyDescent="0.25">
      <c r="AE779169" s="34"/>
      <c r="AF779169" s="34"/>
    </row>
    <row r="779177" spans="31:32" x14ac:dyDescent="0.25">
      <c r="AE779177" s="36"/>
      <c r="AF779177" s="36"/>
    </row>
    <row r="779273" spans="31:32" x14ac:dyDescent="0.25">
      <c r="AE779273" s="34"/>
      <c r="AF779273" s="34"/>
    </row>
    <row r="779281" spans="31:32" x14ac:dyDescent="0.25">
      <c r="AE779281" s="36"/>
      <c r="AF779281" s="36"/>
    </row>
    <row r="779377" spans="31:32" x14ac:dyDescent="0.25">
      <c r="AE779377" s="34"/>
      <c r="AF779377" s="34"/>
    </row>
    <row r="779385" spans="31:32" x14ac:dyDescent="0.25">
      <c r="AE779385" s="36"/>
      <c r="AF779385" s="36"/>
    </row>
    <row r="779481" spans="31:32" x14ac:dyDescent="0.25">
      <c r="AE779481" s="34"/>
      <c r="AF779481" s="34"/>
    </row>
    <row r="779489" spans="31:32" x14ac:dyDescent="0.25">
      <c r="AE779489" s="36"/>
      <c r="AF779489" s="36"/>
    </row>
    <row r="779585" spans="31:32" x14ac:dyDescent="0.25">
      <c r="AE779585" s="34"/>
      <c r="AF779585" s="34"/>
    </row>
    <row r="779593" spans="31:32" x14ac:dyDescent="0.25">
      <c r="AE779593" s="36"/>
      <c r="AF779593" s="36"/>
    </row>
    <row r="779689" spans="31:32" x14ac:dyDescent="0.25">
      <c r="AE779689" s="34"/>
      <c r="AF779689" s="34"/>
    </row>
    <row r="779697" spans="31:32" x14ac:dyDescent="0.25">
      <c r="AE779697" s="36"/>
      <c r="AF779697" s="36"/>
    </row>
    <row r="779793" spans="31:32" x14ac:dyDescent="0.25">
      <c r="AE779793" s="34"/>
      <c r="AF779793" s="34"/>
    </row>
    <row r="779801" spans="31:32" x14ac:dyDescent="0.25">
      <c r="AE779801" s="36"/>
      <c r="AF779801" s="36"/>
    </row>
    <row r="779897" spans="31:32" x14ac:dyDescent="0.25">
      <c r="AE779897" s="34"/>
      <c r="AF779897" s="34"/>
    </row>
    <row r="779905" spans="31:32" x14ac:dyDescent="0.25">
      <c r="AE779905" s="36"/>
      <c r="AF779905" s="36"/>
    </row>
    <row r="780001" spans="31:32" x14ac:dyDescent="0.25">
      <c r="AE780001" s="34"/>
      <c r="AF780001" s="34"/>
    </row>
    <row r="780009" spans="31:32" x14ac:dyDescent="0.25">
      <c r="AE780009" s="36"/>
      <c r="AF780009" s="36"/>
    </row>
    <row r="780105" spans="31:32" x14ac:dyDescent="0.25">
      <c r="AE780105" s="34"/>
      <c r="AF780105" s="34"/>
    </row>
    <row r="780113" spans="31:32" x14ac:dyDescent="0.25">
      <c r="AE780113" s="36"/>
      <c r="AF780113" s="36"/>
    </row>
    <row r="780209" spans="31:32" x14ac:dyDescent="0.25">
      <c r="AE780209" s="34"/>
      <c r="AF780209" s="34"/>
    </row>
    <row r="780217" spans="31:32" x14ac:dyDescent="0.25">
      <c r="AE780217" s="36"/>
      <c r="AF780217" s="36"/>
    </row>
    <row r="780313" spans="31:32" x14ac:dyDescent="0.25">
      <c r="AE780313" s="34"/>
      <c r="AF780313" s="34"/>
    </row>
    <row r="780321" spans="31:32" x14ac:dyDescent="0.25">
      <c r="AE780321" s="36"/>
      <c r="AF780321" s="36"/>
    </row>
    <row r="780417" spans="31:32" x14ac:dyDescent="0.25">
      <c r="AE780417" s="34"/>
      <c r="AF780417" s="34"/>
    </row>
    <row r="780425" spans="31:32" x14ac:dyDescent="0.25">
      <c r="AE780425" s="36"/>
      <c r="AF780425" s="36"/>
    </row>
    <row r="780521" spans="31:32" x14ac:dyDescent="0.25">
      <c r="AE780521" s="34"/>
      <c r="AF780521" s="34"/>
    </row>
    <row r="780529" spans="31:32" x14ac:dyDescent="0.25">
      <c r="AE780529" s="36"/>
      <c r="AF780529" s="36"/>
    </row>
    <row r="780625" spans="31:32" x14ac:dyDescent="0.25">
      <c r="AE780625" s="34"/>
      <c r="AF780625" s="34"/>
    </row>
    <row r="780633" spans="31:32" x14ac:dyDescent="0.25">
      <c r="AE780633" s="36"/>
      <c r="AF780633" s="36"/>
    </row>
    <row r="780729" spans="31:32" x14ac:dyDescent="0.25">
      <c r="AE780729" s="34"/>
      <c r="AF780729" s="34"/>
    </row>
    <row r="780737" spans="31:32" x14ac:dyDescent="0.25">
      <c r="AE780737" s="36"/>
      <c r="AF780737" s="36"/>
    </row>
    <row r="780833" spans="31:32" x14ac:dyDescent="0.25">
      <c r="AE780833" s="34"/>
      <c r="AF780833" s="34"/>
    </row>
    <row r="780841" spans="31:32" x14ac:dyDescent="0.25">
      <c r="AE780841" s="36"/>
      <c r="AF780841" s="36"/>
    </row>
    <row r="780937" spans="31:32" x14ac:dyDescent="0.25">
      <c r="AE780937" s="34"/>
      <c r="AF780937" s="34"/>
    </row>
    <row r="780945" spans="31:32" x14ac:dyDescent="0.25">
      <c r="AE780945" s="36"/>
      <c r="AF780945" s="36"/>
    </row>
    <row r="781041" spans="31:32" x14ac:dyDescent="0.25">
      <c r="AE781041" s="34"/>
      <c r="AF781041" s="34"/>
    </row>
    <row r="781049" spans="31:32" x14ac:dyDescent="0.25">
      <c r="AE781049" s="36"/>
      <c r="AF781049" s="36"/>
    </row>
    <row r="781145" spans="31:32" x14ac:dyDescent="0.25">
      <c r="AE781145" s="34"/>
      <c r="AF781145" s="34"/>
    </row>
    <row r="781153" spans="31:32" x14ac:dyDescent="0.25">
      <c r="AE781153" s="36"/>
      <c r="AF781153" s="36"/>
    </row>
    <row r="781249" spans="31:32" x14ac:dyDescent="0.25">
      <c r="AE781249" s="34"/>
      <c r="AF781249" s="34"/>
    </row>
    <row r="781257" spans="31:32" x14ac:dyDescent="0.25">
      <c r="AE781257" s="36"/>
      <c r="AF781257" s="36"/>
    </row>
    <row r="781353" spans="31:32" x14ac:dyDescent="0.25">
      <c r="AE781353" s="34"/>
      <c r="AF781353" s="34"/>
    </row>
    <row r="781361" spans="31:32" x14ac:dyDescent="0.25">
      <c r="AE781361" s="36"/>
      <c r="AF781361" s="36"/>
    </row>
    <row r="781457" spans="31:32" x14ac:dyDescent="0.25">
      <c r="AE781457" s="34"/>
      <c r="AF781457" s="34"/>
    </row>
    <row r="781465" spans="31:32" x14ac:dyDescent="0.25">
      <c r="AE781465" s="36"/>
      <c r="AF781465" s="36"/>
    </row>
    <row r="781561" spans="31:32" x14ac:dyDescent="0.25">
      <c r="AE781561" s="34"/>
      <c r="AF781561" s="34"/>
    </row>
    <row r="781569" spans="31:32" x14ac:dyDescent="0.25">
      <c r="AE781569" s="36"/>
      <c r="AF781569" s="36"/>
    </row>
    <row r="781665" spans="31:32" x14ac:dyDescent="0.25">
      <c r="AE781665" s="34"/>
      <c r="AF781665" s="34"/>
    </row>
    <row r="781673" spans="31:32" x14ac:dyDescent="0.25">
      <c r="AE781673" s="36"/>
      <c r="AF781673" s="36"/>
    </row>
    <row r="781769" spans="31:32" x14ac:dyDescent="0.25">
      <c r="AE781769" s="34"/>
      <c r="AF781769" s="34"/>
    </row>
    <row r="781777" spans="31:32" x14ac:dyDescent="0.25">
      <c r="AE781777" s="36"/>
      <c r="AF781777" s="36"/>
    </row>
    <row r="781873" spans="31:32" x14ac:dyDescent="0.25">
      <c r="AE781873" s="34"/>
      <c r="AF781873" s="34"/>
    </row>
    <row r="781881" spans="31:32" x14ac:dyDescent="0.25">
      <c r="AE781881" s="36"/>
      <c r="AF781881" s="36"/>
    </row>
    <row r="781977" spans="31:32" x14ac:dyDescent="0.25">
      <c r="AE781977" s="34"/>
      <c r="AF781977" s="34"/>
    </row>
    <row r="781985" spans="31:32" x14ac:dyDescent="0.25">
      <c r="AE781985" s="36"/>
      <c r="AF781985" s="36"/>
    </row>
    <row r="782081" spans="31:32" x14ac:dyDescent="0.25">
      <c r="AE782081" s="34"/>
      <c r="AF782081" s="34"/>
    </row>
    <row r="782089" spans="31:32" x14ac:dyDescent="0.25">
      <c r="AE782089" s="36"/>
      <c r="AF782089" s="36"/>
    </row>
    <row r="782185" spans="31:32" x14ac:dyDescent="0.25">
      <c r="AE782185" s="34"/>
      <c r="AF782185" s="34"/>
    </row>
    <row r="782193" spans="31:32" x14ac:dyDescent="0.25">
      <c r="AE782193" s="36"/>
      <c r="AF782193" s="36"/>
    </row>
    <row r="782289" spans="31:32" x14ac:dyDescent="0.25">
      <c r="AE782289" s="34"/>
      <c r="AF782289" s="34"/>
    </row>
    <row r="782297" spans="31:32" x14ac:dyDescent="0.25">
      <c r="AE782297" s="36"/>
      <c r="AF782297" s="36"/>
    </row>
    <row r="782393" spans="31:32" x14ac:dyDescent="0.25">
      <c r="AE782393" s="34"/>
      <c r="AF782393" s="34"/>
    </row>
    <row r="782401" spans="31:32" x14ac:dyDescent="0.25">
      <c r="AE782401" s="36"/>
      <c r="AF782401" s="36"/>
    </row>
    <row r="782497" spans="31:32" x14ac:dyDescent="0.25">
      <c r="AE782497" s="34"/>
      <c r="AF782497" s="34"/>
    </row>
    <row r="782505" spans="31:32" x14ac:dyDescent="0.25">
      <c r="AE782505" s="36"/>
      <c r="AF782505" s="36"/>
    </row>
    <row r="782601" spans="31:32" x14ac:dyDescent="0.25">
      <c r="AE782601" s="34"/>
      <c r="AF782601" s="34"/>
    </row>
    <row r="782609" spans="31:32" x14ac:dyDescent="0.25">
      <c r="AE782609" s="36"/>
      <c r="AF782609" s="36"/>
    </row>
    <row r="782705" spans="31:32" x14ac:dyDescent="0.25">
      <c r="AE782705" s="34"/>
      <c r="AF782705" s="34"/>
    </row>
    <row r="782713" spans="31:32" x14ac:dyDescent="0.25">
      <c r="AE782713" s="36"/>
      <c r="AF782713" s="36"/>
    </row>
    <row r="782809" spans="31:32" x14ac:dyDescent="0.25">
      <c r="AE782809" s="34"/>
      <c r="AF782809" s="34"/>
    </row>
    <row r="782817" spans="31:32" x14ac:dyDescent="0.25">
      <c r="AE782817" s="36"/>
      <c r="AF782817" s="36"/>
    </row>
    <row r="782913" spans="31:32" x14ac:dyDescent="0.25">
      <c r="AE782913" s="34"/>
      <c r="AF782913" s="34"/>
    </row>
    <row r="782921" spans="31:32" x14ac:dyDescent="0.25">
      <c r="AE782921" s="36"/>
      <c r="AF782921" s="36"/>
    </row>
    <row r="783017" spans="31:32" x14ac:dyDescent="0.25">
      <c r="AE783017" s="34"/>
      <c r="AF783017" s="34"/>
    </row>
    <row r="783025" spans="31:32" x14ac:dyDescent="0.25">
      <c r="AE783025" s="36"/>
      <c r="AF783025" s="36"/>
    </row>
    <row r="783121" spans="31:32" x14ac:dyDescent="0.25">
      <c r="AE783121" s="34"/>
      <c r="AF783121" s="34"/>
    </row>
    <row r="783129" spans="31:32" x14ac:dyDescent="0.25">
      <c r="AE783129" s="36"/>
      <c r="AF783129" s="36"/>
    </row>
    <row r="783225" spans="31:32" x14ac:dyDescent="0.25">
      <c r="AE783225" s="34"/>
      <c r="AF783225" s="34"/>
    </row>
    <row r="783233" spans="31:32" x14ac:dyDescent="0.25">
      <c r="AE783233" s="36"/>
      <c r="AF783233" s="36"/>
    </row>
    <row r="783329" spans="31:32" x14ac:dyDescent="0.25">
      <c r="AE783329" s="34"/>
      <c r="AF783329" s="34"/>
    </row>
    <row r="783337" spans="31:32" x14ac:dyDescent="0.25">
      <c r="AE783337" s="36"/>
      <c r="AF783337" s="36"/>
    </row>
    <row r="783433" spans="31:32" x14ac:dyDescent="0.25">
      <c r="AE783433" s="34"/>
      <c r="AF783433" s="34"/>
    </row>
    <row r="783441" spans="31:32" x14ac:dyDescent="0.25">
      <c r="AE783441" s="36"/>
      <c r="AF783441" s="36"/>
    </row>
    <row r="783537" spans="31:32" x14ac:dyDescent="0.25">
      <c r="AE783537" s="34"/>
      <c r="AF783537" s="34"/>
    </row>
    <row r="783545" spans="31:32" x14ac:dyDescent="0.25">
      <c r="AE783545" s="36"/>
      <c r="AF783545" s="36"/>
    </row>
    <row r="783641" spans="31:32" x14ac:dyDescent="0.25">
      <c r="AE783641" s="34"/>
      <c r="AF783641" s="34"/>
    </row>
    <row r="783649" spans="31:32" x14ac:dyDescent="0.25">
      <c r="AE783649" s="36"/>
      <c r="AF783649" s="36"/>
    </row>
    <row r="783745" spans="31:32" x14ac:dyDescent="0.25">
      <c r="AE783745" s="34"/>
      <c r="AF783745" s="34"/>
    </row>
    <row r="783753" spans="31:32" x14ac:dyDescent="0.25">
      <c r="AE783753" s="36"/>
      <c r="AF783753" s="36"/>
    </row>
    <row r="783849" spans="31:32" x14ac:dyDescent="0.25">
      <c r="AE783849" s="34"/>
      <c r="AF783849" s="34"/>
    </row>
    <row r="783857" spans="31:32" x14ac:dyDescent="0.25">
      <c r="AE783857" s="36"/>
      <c r="AF783857" s="36"/>
    </row>
    <row r="783953" spans="31:32" x14ac:dyDescent="0.25">
      <c r="AE783953" s="34"/>
      <c r="AF783953" s="34"/>
    </row>
    <row r="783961" spans="31:32" x14ac:dyDescent="0.25">
      <c r="AE783961" s="36"/>
      <c r="AF783961" s="36"/>
    </row>
    <row r="784057" spans="31:32" x14ac:dyDescent="0.25">
      <c r="AE784057" s="34"/>
      <c r="AF784057" s="34"/>
    </row>
    <row r="784065" spans="31:32" x14ac:dyDescent="0.25">
      <c r="AE784065" s="36"/>
      <c r="AF784065" s="36"/>
    </row>
    <row r="784161" spans="31:32" x14ac:dyDescent="0.25">
      <c r="AE784161" s="34"/>
      <c r="AF784161" s="34"/>
    </row>
    <row r="784169" spans="31:32" x14ac:dyDescent="0.25">
      <c r="AE784169" s="36"/>
      <c r="AF784169" s="36"/>
    </row>
    <row r="784265" spans="31:32" x14ac:dyDescent="0.25">
      <c r="AE784265" s="34"/>
      <c r="AF784265" s="34"/>
    </row>
    <row r="784273" spans="31:32" x14ac:dyDescent="0.25">
      <c r="AE784273" s="36"/>
      <c r="AF784273" s="36"/>
    </row>
    <row r="784369" spans="31:32" x14ac:dyDescent="0.25">
      <c r="AE784369" s="34"/>
      <c r="AF784369" s="34"/>
    </row>
    <row r="784377" spans="31:32" x14ac:dyDescent="0.25">
      <c r="AE784377" s="36"/>
      <c r="AF784377" s="36"/>
    </row>
    <row r="784473" spans="31:32" x14ac:dyDescent="0.25">
      <c r="AE784473" s="34"/>
      <c r="AF784473" s="34"/>
    </row>
    <row r="784481" spans="31:32" x14ac:dyDescent="0.25">
      <c r="AE784481" s="36"/>
      <c r="AF784481" s="36"/>
    </row>
    <row r="784577" spans="31:32" x14ac:dyDescent="0.25">
      <c r="AE784577" s="34"/>
      <c r="AF784577" s="34"/>
    </row>
    <row r="784585" spans="31:32" x14ac:dyDescent="0.25">
      <c r="AE784585" s="36"/>
      <c r="AF784585" s="36"/>
    </row>
    <row r="784681" spans="31:32" x14ac:dyDescent="0.25">
      <c r="AE784681" s="34"/>
      <c r="AF784681" s="34"/>
    </row>
    <row r="784689" spans="31:32" x14ac:dyDescent="0.25">
      <c r="AE784689" s="36"/>
      <c r="AF784689" s="36"/>
    </row>
    <row r="784785" spans="31:32" x14ac:dyDescent="0.25">
      <c r="AE784785" s="34"/>
      <c r="AF784785" s="34"/>
    </row>
    <row r="784793" spans="31:32" x14ac:dyDescent="0.25">
      <c r="AE784793" s="36"/>
      <c r="AF784793" s="36"/>
    </row>
    <row r="784889" spans="31:32" x14ac:dyDescent="0.25">
      <c r="AE784889" s="34"/>
      <c r="AF784889" s="34"/>
    </row>
    <row r="784897" spans="31:32" x14ac:dyDescent="0.25">
      <c r="AE784897" s="36"/>
      <c r="AF784897" s="36"/>
    </row>
    <row r="784993" spans="31:32" x14ac:dyDescent="0.25">
      <c r="AE784993" s="34"/>
      <c r="AF784993" s="34"/>
    </row>
    <row r="785001" spans="31:32" x14ac:dyDescent="0.25">
      <c r="AE785001" s="36"/>
      <c r="AF785001" s="36"/>
    </row>
    <row r="785097" spans="31:32" x14ac:dyDescent="0.25">
      <c r="AE785097" s="34"/>
      <c r="AF785097" s="34"/>
    </row>
    <row r="785105" spans="31:32" x14ac:dyDescent="0.25">
      <c r="AE785105" s="36"/>
      <c r="AF785105" s="36"/>
    </row>
    <row r="785201" spans="31:32" x14ac:dyDescent="0.25">
      <c r="AE785201" s="34"/>
      <c r="AF785201" s="34"/>
    </row>
    <row r="785209" spans="31:32" x14ac:dyDescent="0.25">
      <c r="AE785209" s="36"/>
      <c r="AF785209" s="36"/>
    </row>
    <row r="785305" spans="31:32" x14ac:dyDescent="0.25">
      <c r="AE785305" s="34"/>
      <c r="AF785305" s="34"/>
    </row>
    <row r="785313" spans="31:32" x14ac:dyDescent="0.25">
      <c r="AE785313" s="36"/>
      <c r="AF785313" s="36"/>
    </row>
    <row r="785409" spans="31:32" x14ac:dyDescent="0.25">
      <c r="AE785409" s="34"/>
      <c r="AF785409" s="34"/>
    </row>
    <row r="785417" spans="31:32" x14ac:dyDescent="0.25">
      <c r="AE785417" s="36"/>
      <c r="AF785417" s="36"/>
    </row>
    <row r="785513" spans="31:32" x14ac:dyDescent="0.25">
      <c r="AE785513" s="34"/>
      <c r="AF785513" s="34"/>
    </row>
    <row r="785521" spans="31:32" x14ac:dyDescent="0.25">
      <c r="AE785521" s="36"/>
      <c r="AF785521" s="36"/>
    </row>
    <row r="785617" spans="31:32" x14ac:dyDescent="0.25">
      <c r="AE785617" s="34"/>
      <c r="AF785617" s="34"/>
    </row>
    <row r="785625" spans="31:32" x14ac:dyDescent="0.25">
      <c r="AE785625" s="36"/>
      <c r="AF785625" s="36"/>
    </row>
    <row r="785721" spans="31:32" x14ac:dyDescent="0.25">
      <c r="AE785721" s="34"/>
      <c r="AF785721" s="34"/>
    </row>
    <row r="785729" spans="31:32" x14ac:dyDescent="0.25">
      <c r="AE785729" s="36"/>
      <c r="AF785729" s="36"/>
    </row>
    <row r="785825" spans="31:32" x14ac:dyDescent="0.25">
      <c r="AE785825" s="34"/>
      <c r="AF785825" s="34"/>
    </row>
    <row r="785833" spans="31:32" x14ac:dyDescent="0.25">
      <c r="AE785833" s="36"/>
      <c r="AF785833" s="36"/>
    </row>
    <row r="785929" spans="31:32" x14ac:dyDescent="0.25">
      <c r="AE785929" s="34"/>
      <c r="AF785929" s="34"/>
    </row>
    <row r="785937" spans="31:32" x14ac:dyDescent="0.25">
      <c r="AE785937" s="36"/>
      <c r="AF785937" s="36"/>
    </row>
    <row r="786033" spans="31:32" x14ac:dyDescent="0.25">
      <c r="AE786033" s="34"/>
      <c r="AF786033" s="34"/>
    </row>
    <row r="786041" spans="31:32" x14ac:dyDescent="0.25">
      <c r="AE786041" s="36"/>
      <c r="AF786041" s="36"/>
    </row>
    <row r="786137" spans="31:32" x14ac:dyDescent="0.25">
      <c r="AE786137" s="34"/>
      <c r="AF786137" s="34"/>
    </row>
    <row r="786145" spans="31:32" x14ac:dyDescent="0.25">
      <c r="AE786145" s="36"/>
      <c r="AF786145" s="36"/>
    </row>
    <row r="786241" spans="31:32" x14ac:dyDescent="0.25">
      <c r="AE786241" s="34"/>
      <c r="AF786241" s="34"/>
    </row>
    <row r="786249" spans="31:32" x14ac:dyDescent="0.25">
      <c r="AE786249" s="36"/>
      <c r="AF786249" s="36"/>
    </row>
    <row r="786345" spans="31:32" x14ac:dyDescent="0.25">
      <c r="AE786345" s="34"/>
      <c r="AF786345" s="34"/>
    </row>
    <row r="786353" spans="31:32" x14ac:dyDescent="0.25">
      <c r="AE786353" s="36"/>
      <c r="AF786353" s="36"/>
    </row>
    <row r="786449" spans="31:32" x14ac:dyDescent="0.25">
      <c r="AE786449" s="34"/>
      <c r="AF786449" s="34"/>
    </row>
    <row r="786457" spans="31:32" x14ac:dyDescent="0.25">
      <c r="AE786457" s="36"/>
      <c r="AF786457" s="36"/>
    </row>
    <row r="786553" spans="31:32" x14ac:dyDescent="0.25">
      <c r="AE786553" s="34"/>
      <c r="AF786553" s="34"/>
    </row>
    <row r="786561" spans="31:32" x14ac:dyDescent="0.25">
      <c r="AE786561" s="36"/>
      <c r="AF786561" s="36"/>
    </row>
    <row r="786657" spans="31:32" x14ac:dyDescent="0.25">
      <c r="AE786657" s="34"/>
      <c r="AF786657" s="34"/>
    </row>
    <row r="786665" spans="31:32" x14ac:dyDescent="0.25">
      <c r="AE786665" s="36"/>
      <c r="AF786665" s="36"/>
    </row>
    <row r="786761" spans="31:32" x14ac:dyDescent="0.25">
      <c r="AE786761" s="34"/>
      <c r="AF786761" s="34"/>
    </row>
    <row r="786769" spans="31:32" x14ac:dyDescent="0.25">
      <c r="AE786769" s="36"/>
      <c r="AF786769" s="36"/>
    </row>
    <row r="786865" spans="31:32" x14ac:dyDescent="0.25">
      <c r="AE786865" s="34"/>
      <c r="AF786865" s="34"/>
    </row>
    <row r="786873" spans="31:32" x14ac:dyDescent="0.25">
      <c r="AE786873" s="36"/>
      <c r="AF786873" s="36"/>
    </row>
    <row r="786969" spans="31:32" x14ac:dyDescent="0.25">
      <c r="AE786969" s="34"/>
      <c r="AF786969" s="34"/>
    </row>
    <row r="786977" spans="31:32" x14ac:dyDescent="0.25">
      <c r="AE786977" s="36"/>
      <c r="AF786977" s="36"/>
    </row>
    <row r="787073" spans="31:32" x14ac:dyDescent="0.25">
      <c r="AE787073" s="34"/>
      <c r="AF787073" s="34"/>
    </row>
    <row r="787081" spans="31:32" x14ac:dyDescent="0.25">
      <c r="AE787081" s="36"/>
      <c r="AF787081" s="36"/>
    </row>
    <row r="787177" spans="31:32" x14ac:dyDescent="0.25">
      <c r="AE787177" s="34"/>
      <c r="AF787177" s="34"/>
    </row>
    <row r="787185" spans="31:32" x14ac:dyDescent="0.25">
      <c r="AE787185" s="36"/>
      <c r="AF787185" s="36"/>
    </row>
    <row r="787281" spans="31:32" x14ac:dyDescent="0.25">
      <c r="AE787281" s="34"/>
      <c r="AF787281" s="34"/>
    </row>
    <row r="787289" spans="31:32" x14ac:dyDescent="0.25">
      <c r="AE787289" s="36"/>
      <c r="AF787289" s="36"/>
    </row>
    <row r="787385" spans="31:32" x14ac:dyDescent="0.25">
      <c r="AE787385" s="34"/>
      <c r="AF787385" s="34"/>
    </row>
    <row r="787393" spans="31:32" x14ac:dyDescent="0.25">
      <c r="AE787393" s="36"/>
      <c r="AF787393" s="36"/>
    </row>
    <row r="787489" spans="31:32" x14ac:dyDescent="0.25">
      <c r="AE787489" s="34"/>
      <c r="AF787489" s="34"/>
    </row>
    <row r="787497" spans="31:32" x14ac:dyDescent="0.25">
      <c r="AE787497" s="36"/>
      <c r="AF787497" s="36"/>
    </row>
    <row r="787593" spans="31:32" x14ac:dyDescent="0.25">
      <c r="AE787593" s="34"/>
      <c r="AF787593" s="34"/>
    </row>
    <row r="787601" spans="31:32" x14ac:dyDescent="0.25">
      <c r="AE787601" s="36"/>
      <c r="AF787601" s="36"/>
    </row>
    <row r="787697" spans="31:32" x14ac:dyDescent="0.25">
      <c r="AE787697" s="34"/>
      <c r="AF787697" s="34"/>
    </row>
    <row r="787705" spans="31:32" x14ac:dyDescent="0.25">
      <c r="AE787705" s="36"/>
      <c r="AF787705" s="36"/>
    </row>
    <row r="787801" spans="31:32" x14ac:dyDescent="0.25">
      <c r="AE787801" s="34"/>
      <c r="AF787801" s="34"/>
    </row>
    <row r="787809" spans="31:32" x14ac:dyDescent="0.25">
      <c r="AE787809" s="36"/>
      <c r="AF787809" s="36"/>
    </row>
    <row r="787905" spans="31:32" x14ac:dyDescent="0.25">
      <c r="AE787905" s="34"/>
      <c r="AF787905" s="34"/>
    </row>
    <row r="787913" spans="31:32" x14ac:dyDescent="0.25">
      <c r="AE787913" s="36"/>
      <c r="AF787913" s="36"/>
    </row>
    <row r="788009" spans="31:32" x14ac:dyDescent="0.25">
      <c r="AE788009" s="34"/>
      <c r="AF788009" s="34"/>
    </row>
    <row r="788017" spans="31:32" x14ac:dyDescent="0.25">
      <c r="AE788017" s="36"/>
      <c r="AF788017" s="36"/>
    </row>
    <row r="788113" spans="31:32" x14ac:dyDescent="0.25">
      <c r="AE788113" s="34"/>
      <c r="AF788113" s="34"/>
    </row>
    <row r="788121" spans="31:32" x14ac:dyDescent="0.25">
      <c r="AE788121" s="36"/>
      <c r="AF788121" s="36"/>
    </row>
    <row r="788217" spans="31:32" x14ac:dyDescent="0.25">
      <c r="AE788217" s="34"/>
      <c r="AF788217" s="34"/>
    </row>
    <row r="788225" spans="31:32" x14ac:dyDescent="0.25">
      <c r="AE788225" s="36"/>
      <c r="AF788225" s="36"/>
    </row>
    <row r="788321" spans="31:32" x14ac:dyDescent="0.25">
      <c r="AE788321" s="34"/>
      <c r="AF788321" s="34"/>
    </row>
    <row r="788329" spans="31:32" x14ac:dyDescent="0.25">
      <c r="AE788329" s="36"/>
      <c r="AF788329" s="36"/>
    </row>
    <row r="788425" spans="31:32" x14ac:dyDescent="0.25">
      <c r="AE788425" s="34"/>
      <c r="AF788425" s="34"/>
    </row>
    <row r="788433" spans="31:32" x14ac:dyDescent="0.25">
      <c r="AE788433" s="36"/>
      <c r="AF788433" s="36"/>
    </row>
    <row r="788529" spans="31:32" x14ac:dyDescent="0.25">
      <c r="AE788529" s="34"/>
      <c r="AF788529" s="34"/>
    </row>
    <row r="788537" spans="31:32" x14ac:dyDescent="0.25">
      <c r="AE788537" s="36"/>
      <c r="AF788537" s="36"/>
    </row>
    <row r="788633" spans="31:32" x14ac:dyDescent="0.25">
      <c r="AE788633" s="34"/>
      <c r="AF788633" s="34"/>
    </row>
    <row r="788641" spans="31:32" x14ac:dyDescent="0.25">
      <c r="AE788641" s="36"/>
      <c r="AF788641" s="36"/>
    </row>
    <row r="788737" spans="31:32" x14ac:dyDescent="0.25">
      <c r="AE788737" s="34"/>
      <c r="AF788737" s="34"/>
    </row>
    <row r="788745" spans="31:32" x14ac:dyDescent="0.25">
      <c r="AE788745" s="36"/>
      <c r="AF788745" s="36"/>
    </row>
    <row r="788841" spans="31:32" x14ac:dyDescent="0.25">
      <c r="AE788841" s="34"/>
      <c r="AF788841" s="34"/>
    </row>
    <row r="788849" spans="31:32" x14ac:dyDescent="0.25">
      <c r="AE788849" s="36"/>
      <c r="AF788849" s="36"/>
    </row>
    <row r="788945" spans="31:32" x14ac:dyDescent="0.25">
      <c r="AE788945" s="34"/>
      <c r="AF788945" s="34"/>
    </row>
    <row r="788953" spans="31:32" x14ac:dyDescent="0.25">
      <c r="AE788953" s="36"/>
      <c r="AF788953" s="36"/>
    </row>
    <row r="789049" spans="31:32" x14ac:dyDescent="0.25">
      <c r="AE789049" s="34"/>
      <c r="AF789049" s="34"/>
    </row>
    <row r="789057" spans="31:32" x14ac:dyDescent="0.25">
      <c r="AE789057" s="36"/>
      <c r="AF789057" s="36"/>
    </row>
    <row r="789153" spans="31:32" x14ac:dyDescent="0.25">
      <c r="AE789153" s="34"/>
      <c r="AF789153" s="34"/>
    </row>
    <row r="789161" spans="31:32" x14ac:dyDescent="0.25">
      <c r="AE789161" s="36"/>
      <c r="AF789161" s="36"/>
    </row>
    <row r="789257" spans="31:32" x14ac:dyDescent="0.25">
      <c r="AE789257" s="34"/>
      <c r="AF789257" s="34"/>
    </row>
    <row r="789265" spans="31:32" x14ac:dyDescent="0.25">
      <c r="AE789265" s="36"/>
      <c r="AF789265" s="36"/>
    </row>
    <row r="789361" spans="31:32" x14ac:dyDescent="0.25">
      <c r="AE789361" s="34"/>
      <c r="AF789361" s="34"/>
    </row>
    <row r="789369" spans="31:32" x14ac:dyDescent="0.25">
      <c r="AE789369" s="36"/>
      <c r="AF789369" s="36"/>
    </row>
    <row r="789465" spans="31:32" x14ac:dyDescent="0.25">
      <c r="AE789465" s="34"/>
      <c r="AF789465" s="34"/>
    </row>
    <row r="789473" spans="31:32" x14ac:dyDescent="0.25">
      <c r="AE789473" s="36"/>
      <c r="AF789473" s="36"/>
    </row>
    <row r="789569" spans="31:32" x14ac:dyDescent="0.25">
      <c r="AE789569" s="34"/>
      <c r="AF789569" s="34"/>
    </row>
    <row r="789577" spans="31:32" x14ac:dyDescent="0.25">
      <c r="AE789577" s="36"/>
      <c r="AF789577" s="36"/>
    </row>
    <row r="789673" spans="31:32" x14ac:dyDescent="0.25">
      <c r="AE789673" s="34"/>
      <c r="AF789673" s="34"/>
    </row>
    <row r="789681" spans="31:32" x14ac:dyDescent="0.25">
      <c r="AE789681" s="36"/>
      <c r="AF789681" s="36"/>
    </row>
    <row r="789777" spans="31:32" x14ac:dyDescent="0.25">
      <c r="AE789777" s="34"/>
      <c r="AF789777" s="34"/>
    </row>
    <row r="789785" spans="31:32" x14ac:dyDescent="0.25">
      <c r="AE789785" s="36"/>
      <c r="AF789785" s="36"/>
    </row>
    <row r="789881" spans="31:32" x14ac:dyDescent="0.25">
      <c r="AE789881" s="34"/>
      <c r="AF789881" s="34"/>
    </row>
    <row r="789889" spans="31:32" x14ac:dyDescent="0.25">
      <c r="AE789889" s="36"/>
      <c r="AF789889" s="36"/>
    </row>
    <row r="789985" spans="31:32" x14ac:dyDescent="0.25">
      <c r="AE789985" s="34"/>
      <c r="AF789985" s="34"/>
    </row>
    <row r="789993" spans="31:32" x14ac:dyDescent="0.25">
      <c r="AE789993" s="36"/>
      <c r="AF789993" s="36"/>
    </row>
    <row r="790089" spans="31:32" x14ac:dyDescent="0.25">
      <c r="AE790089" s="34"/>
      <c r="AF790089" s="34"/>
    </row>
    <row r="790097" spans="31:32" x14ac:dyDescent="0.25">
      <c r="AE790097" s="36"/>
      <c r="AF790097" s="36"/>
    </row>
    <row r="790193" spans="31:32" x14ac:dyDescent="0.25">
      <c r="AE790193" s="34"/>
      <c r="AF790193" s="34"/>
    </row>
    <row r="790201" spans="31:32" x14ac:dyDescent="0.25">
      <c r="AE790201" s="36"/>
      <c r="AF790201" s="36"/>
    </row>
    <row r="790297" spans="31:32" x14ac:dyDescent="0.25">
      <c r="AE790297" s="34"/>
      <c r="AF790297" s="34"/>
    </row>
    <row r="790305" spans="31:32" x14ac:dyDescent="0.25">
      <c r="AE790305" s="36"/>
      <c r="AF790305" s="36"/>
    </row>
    <row r="790401" spans="31:32" x14ac:dyDescent="0.25">
      <c r="AE790401" s="34"/>
      <c r="AF790401" s="34"/>
    </row>
    <row r="790409" spans="31:32" x14ac:dyDescent="0.25">
      <c r="AE790409" s="36"/>
      <c r="AF790409" s="36"/>
    </row>
    <row r="790505" spans="31:32" x14ac:dyDescent="0.25">
      <c r="AE790505" s="34"/>
      <c r="AF790505" s="34"/>
    </row>
    <row r="790513" spans="31:32" x14ac:dyDescent="0.25">
      <c r="AE790513" s="36"/>
      <c r="AF790513" s="36"/>
    </row>
    <row r="790609" spans="31:32" x14ac:dyDescent="0.25">
      <c r="AE790609" s="34"/>
      <c r="AF790609" s="34"/>
    </row>
    <row r="790617" spans="31:32" x14ac:dyDescent="0.25">
      <c r="AE790617" s="36"/>
      <c r="AF790617" s="36"/>
    </row>
    <row r="790713" spans="31:32" x14ac:dyDescent="0.25">
      <c r="AE790713" s="34"/>
      <c r="AF790713" s="34"/>
    </row>
    <row r="790721" spans="31:32" x14ac:dyDescent="0.25">
      <c r="AE790721" s="36"/>
      <c r="AF790721" s="36"/>
    </row>
    <row r="790817" spans="31:32" x14ac:dyDescent="0.25">
      <c r="AE790817" s="34"/>
      <c r="AF790817" s="34"/>
    </row>
    <row r="790825" spans="31:32" x14ac:dyDescent="0.25">
      <c r="AE790825" s="36"/>
      <c r="AF790825" s="36"/>
    </row>
    <row r="790921" spans="31:32" x14ac:dyDescent="0.25">
      <c r="AE790921" s="34"/>
      <c r="AF790921" s="34"/>
    </row>
    <row r="790929" spans="31:32" x14ac:dyDescent="0.25">
      <c r="AE790929" s="36"/>
      <c r="AF790929" s="36"/>
    </row>
    <row r="791025" spans="31:32" x14ac:dyDescent="0.25">
      <c r="AE791025" s="34"/>
      <c r="AF791025" s="34"/>
    </row>
    <row r="791033" spans="31:32" x14ac:dyDescent="0.25">
      <c r="AE791033" s="36"/>
      <c r="AF791033" s="36"/>
    </row>
    <row r="791129" spans="31:32" x14ac:dyDescent="0.25">
      <c r="AE791129" s="34"/>
      <c r="AF791129" s="34"/>
    </row>
    <row r="791137" spans="31:32" x14ac:dyDescent="0.25">
      <c r="AE791137" s="36"/>
      <c r="AF791137" s="36"/>
    </row>
    <row r="791233" spans="31:32" x14ac:dyDescent="0.25">
      <c r="AE791233" s="34"/>
      <c r="AF791233" s="34"/>
    </row>
    <row r="791241" spans="31:32" x14ac:dyDescent="0.25">
      <c r="AE791241" s="36"/>
      <c r="AF791241" s="36"/>
    </row>
    <row r="791337" spans="31:32" x14ac:dyDescent="0.25">
      <c r="AE791337" s="34"/>
      <c r="AF791337" s="34"/>
    </row>
    <row r="791345" spans="31:32" x14ac:dyDescent="0.25">
      <c r="AE791345" s="36"/>
      <c r="AF791345" s="36"/>
    </row>
    <row r="791441" spans="31:32" x14ac:dyDescent="0.25">
      <c r="AE791441" s="34"/>
      <c r="AF791441" s="34"/>
    </row>
    <row r="791449" spans="31:32" x14ac:dyDescent="0.25">
      <c r="AE791449" s="36"/>
      <c r="AF791449" s="36"/>
    </row>
    <row r="791545" spans="31:32" x14ac:dyDescent="0.25">
      <c r="AE791545" s="34"/>
      <c r="AF791545" s="34"/>
    </row>
    <row r="791553" spans="31:32" x14ac:dyDescent="0.25">
      <c r="AE791553" s="36"/>
      <c r="AF791553" s="36"/>
    </row>
    <row r="791649" spans="31:32" x14ac:dyDescent="0.25">
      <c r="AE791649" s="34"/>
      <c r="AF791649" s="34"/>
    </row>
    <row r="791657" spans="31:32" x14ac:dyDescent="0.25">
      <c r="AE791657" s="36"/>
      <c r="AF791657" s="36"/>
    </row>
    <row r="791753" spans="31:32" x14ac:dyDescent="0.25">
      <c r="AE791753" s="34"/>
      <c r="AF791753" s="34"/>
    </row>
    <row r="791761" spans="31:32" x14ac:dyDescent="0.25">
      <c r="AE791761" s="36"/>
      <c r="AF791761" s="36"/>
    </row>
    <row r="791857" spans="31:32" x14ac:dyDescent="0.25">
      <c r="AE791857" s="34"/>
      <c r="AF791857" s="34"/>
    </row>
    <row r="791865" spans="31:32" x14ac:dyDescent="0.25">
      <c r="AE791865" s="36"/>
      <c r="AF791865" s="36"/>
    </row>
    <row r="791961" spans="31:32" x14ac:dyDescent="0.25">
      <c r="AE791961" s="34"/>
      <c r="AF791961" s="34"/>
    </row>
    <row r="791969" spans="31:32" x14ac:dyDescent="0.25">
      <c r="AE791969" s="36"/>
      <c r="AF791969" s="36"/>
    </row>
    <row r="792065" spans="31:32" x14ac:dyDescent="0.25">
      <c r="AE792065" s="34"/>
      <c r="AF792065" s="34"/>
    </row>
    <row r="792073" spans="31:32" x14ac:dyDescent="0.25">
      <c r="AE792073" s="36"/>
      <c r="AF792073" s="36"/>
    </row>
    <row r="792169" spans="31:32" x14ac:dyDescent="0.25">
      <c r="AE792169" s="34"/>
      <c r="AF792169" s="34"/>
    </row>
    <row r="792177" spans="31:32" x14ac:dyDescent="0.25">
      <c r="AE792177" s="36"/>
      <c r="AF792177" s="36"/>
    </row>
    <row r="792273" spans="31:32" x14ac:dyDescent="0.25">
      <c r="AE792273" s="34"/>
      <c r="AF792273" s="34"/>
    </row>
    <row r="792281" spans="31:32" x14ac:dyDescent="0.25">
      <c r="AE792281" s="36"/>
      <c r="AF792281" s="36"/>
    </row>
    <row r="792377" spans="31:32" x14ac:dyDescent="0.25">
      <c r="AE792377" s="34"/>
      <c r="AF792377" s="34"/>
    </row>
    <row r="792385" spans="31:32" x14ac:dyDescent="0.25">
      <c r="AE792385" s="36"/>
      <c r="AF792385" s="36"/>
    </row>
    <row r="792481" spans="31:32" x14ac:dyDescent="0.25">
      <c r="AE792481" s="34"/>
      <c r="AF792481" s="34"/>
    </row>
    <row r="792489" spans="31:32" x14ac:dyDescent="0.25">
      <c r="AE792489" s="36"/>
      <c r="AF792489" s="36"/>
    </row>
    <row r="792585" spans="31:32" x14ac:dyDescent="0.25">
      <c r="AE792585" s="34"/>
      <c r="AF792585" s="34"/>
    </row>
    <row r="792593" spans="31:32" x14ac:dyDescent="0.25">
      <c r="AE792593" s="36"/>
      <c r="AF792593" s="36"/>
    </row>
    <row r="792689" spans="31:32" x14ac:dyDescent="0.25">
      <c r="AE792689" s="34"/>
      <c r="AF792689" s="34"/>
    </row>
    <row r="792697" spans="31:32" x14ac:dyDescent="0.25">
      <c r="AE792697" s="36"/>
      <c r="AF792697" s="36"/>
    </row>
    <row r="792793" spans="31:32" x14ac:dyDescent="0.25">
      <c r="AE792793" s="34"/>
      <c r="AF792793" s="34"/>
    </row>
    <row r="792801" spans="31:32" x14ac:dyDescent="0.25">
      <c r="AE792801" s="36"/>
      <c r="AF792801" s="36"/>
    </row>
    <row r="792897" spans="31:32" x14ac:dyDescent="0.25">
      <c r="AE792897" s="34"/>
      <c r="AF792897" s="34"/>
    </row>
    <row r="792905" spans="31:32" x14ac:dyDescent="0.25">
      <c r="AE792905" s="36"/>
      <c r="AF792905" s="36"/>
    </row>
    <row r="793001" spans="31:32" x14ac:dyDescent="0.25">
      <c r="AE793001" s="34"/>
      <c r="AF793001" s="34"/>
    </row>
    <row r="793009" spans="31:32" x14ac:dyDescent="0.25">
      <c r="AE793009" s="36"/>
      <c r="AF793009" s="36"/>
    </row>
    <row r="793105" spans="31:32" x14ac:dyDescent="0.25">
      <c r="AE793105" s="34"/>
      <c r="AF793105" s="34"/>
    </row>
    <row r="793113" spans="31:32" x14ac:dyDescent="0.25">
      <c r="AE793113" s="36"/>
      <c r="AF793113" s="36"/>
    </row>
    <row r="793209" spans="31:32" x14ac:dyDescent="0.25">
      <c r="AE793209" s="34"/>
      <c r="AF793209" s="34"/>
    </row>
    <row r="793217" spans="31:32" x14ac:dyDescent="0.25">
      <c r="AE793217" s="36"/>
      <c r="AF793217" s="36"/>
    </row>
    <row r="793313" spans="31:32" x14ac:dyDescent="0.25">
      <c r="AE793313" s="34"/>
      <c r="AF793313" s="34"/>
    </row>
    <row r="793321" spans="31:32" x14ac:dyDescent="0.25">
      <c r="AE793321" s="36"/>
      <c r="AF793321" s="36"/>
    </row>
    <row r="793417" spans="31:32" x14ac:dyDescent="0.25">
      <c r="AE793417" s="34"/>
      <c r="AF793417" s="34"/>
    </row>
    <row r="793425" spans="31:32" x14ac:dyDescent="0.25">
      <c r="AE793425" s="36"/>
      <c r="AF793425" s="36"/>
    </row>
    <row r="793521" spans="31:32" x14ac:dyDescent="0.25">
      <c r="AE793521" s="34"/>
      <c r="AF793521" s="34"/>
    </row>
    <row r="793529" spans="31:32" x14ac:dyDescent="0.25">
      <c r="AE793529" s="36"/>
      <c r="AF793529" s="36"/>
    </row>
    <row r="793625" spans="31:32" x14ac:dyDescent="0.25">
      <c r="AE793625" s="34"/>
      <c r="AF793625" s="34"/>
    </row>
    <row r="793633" spans="31:32" x14ac:dyDescent="0.25">
      <c r="AE793633" s="36"/>
      <c r="AF793633" s="36"/>
    </row>
    <row r="793729" spans="31:32" x14ac:dyDescent="0.25">
      <c r="AE793729" s="34"/>
      <c r="AF793729" s="34"/>
    </row>
    <row r="793737" spans="31:32" x14ac:dyDescent="0.25">
      <c r="AE793737" s="36"/>
      <c r="AF793737" s="36"/>
    </row>
    <row r="793833" spans="31:32" x14ac:dyDescent="0.25">
      <c r="AE793833" s="34"/>
      <c r="AF793833" s="34"/>
    </row>
    <row r="793841" spans="31:32" x14ac:dyDescent="0.25">
      <c r="AE793841" s="36"/>
      <c r="AF793841" s="36"/>
    </row>
    <row r="793937" spans="31:32" x14ac:dyDescent="0.25">
      <c r="AE793937" s="34"/>
      <c r="AF793937" s="34"/>
    </row>
    <row r="793945" spans="31:32" x14ac:dyDescent="0.25">
      <c r="AE793945" s="36"/>
      <c r="AF793945" s="36"/>
    </row>
    <row r="794041" spans="31:32" x14ac:dyDescent="0.25">
      <c r="AE794041" s="34"/>
      <c r="AF794041" s="34"/>
    </row>
    <row r="794049" spans="31:32" x14ac:dyDescent="0.25">
      <c r="AE794049" s="36"/>
      <c r="AF794049" s="36"/>
    </row>
    <row r="794145" spans="31:32" x14ac:dyDescent="0.25">
      <c r="AE794145" s="34"/>
      <c r="AF794145" s="34"/>
    </row>
    <row r="794153" spans="31:32" x14ac:dyDescent="0.25">
      <c r="AE794153" s="36"/>
      <c r="AF794153" s="36"/>
    </row>
    <row r="794249" spans="31:32" x14ac:dyDescent="0.25">
      <c r="AE794249" s="34"/>
      <c r="AF794249" s="34"/>
    </row>
    <row r="794257" spans="31:32" x14ac:dyDescent="0.25">
      <c r="AE794257" s="36"/>
      <c r="AF794257" s="36"/>
    </row>
    <row r="794353" spans="31:32" x14ac:dyDescent="0.25">
      <c r="AE794353" s="34"/>
      <c r="AF794353" s="34"/>
    </row>
    <row r="794361" spans="31:32" x14ac:dyDescent="0.25">
      <c r="AE794361" s="36"/>
      <c r="AF794361" s="36"/>
    </row>
    <row r="794457" spans="31:32" x14ac:dyDescent="0.25">
      <c r="AE794457" s="34"/>
      <c r="AF794457" s="34"/>
    </row>
    <row r="794465" spans="31:32" x14ac:dyDescent="0.25">
      <c r="AE794465" s="36"/>
      <c r="AF794465" s="36"/>
    </row>
    <row r="794561" spans="31:32" x14ac:dyDescent="0.25">
      <c r="AE794561" s="34"/>
      <c r="AF794561" s="34"/>
    </row>
    <row r="794569" spans="31:32" x14ac:dyDescent="0.25">
      <c r="AE794569" s="36"/>
      <c r="AF794569" s="36"/>
    </row>
    <row r="794665" spans="31:32" x14ac:dyDescent="0.25">
      <c r="AE794665" s="34"/>
      <c r="AF794665" s="34"/>
    </row>
    <row r="794673" spans="31:32" x14ac:dyDescent="0.25">
      <c r="AE794673" s="36"/>
      <c r="AF794673" s="36"/>
    </row>
    <row r="794769" spans="31:32" x14ac:dyDescent="0.25">
      <c r="AE794769" s="34"/>
      <c r="AF794769" s="34"/>
    </row>
    <row r="794777" spans="31:32" x14ac:dyDescent="0.25">
      <c r="AE794777" s="36"/>
      <c r="AF794777" s="36"/>
    </row>
    <row r="794873" spans="31:32" x14ac:dyDescent="0.25">
      <c r="AE794873" s="34"/>
      <c r="AF794873" s="34"/>
    </row>
    <row r="794881" spans="31:32" x14ac:dyDescent="0.25">
      <c r="AE794881" s="36"/>
      <c r="AF794881" s="36"/>
    </row>
    <row r="794977" spans="31:32" x14ac:dyDescent="0.25">
      <c r="AE794977" s="34"/>
      <c r="AF794977" s="34"/>
    </row>
    <row r="794985" spans="31:32" x14ac:dyDescent="0.25">
      <c r="AE794985" s="36"/>
      <c r="AF794985" s="36"/>
    </row>
    <row r="795081" spans="31:32" x14ac:dyDescent="0.25">
      <c r="AE795081" s="34"/>
      <c r="AF795081" s="34"/>
    </row>
    <row r="795089" spans="31:32" x14ac:dyDescent="0.25">
      <c r="AE795089" s="36"/>
      <c r="AF795089" s="36"/>
    </row>
    <row r="795185" spans="31:32" x14ac:dyDescent="0.25">
      <c r="AE795185" s="34"/>
      <c r="AF795185" s="34"/>
    </row>
    <row r="795193" spans="31:32" x14ac:dyDescent="0.25">
      <c r="AE795193" s="36"/>
      <c r="AF795193" s="36"/>
    </row>
    <row r="795289" spans="31:32" x14ac:dyDescent="0.25">
      <c r="AE795289" s="34"/>
      <c r="AF795289" s="34"/>
    </row>
    <row r="795297" spans="31:32" x14ac:dyDescent="0.25">
      <c r="AE795297" s="36"/>
      <c r="AF795297" s="36"/>
    </row>
    <row r="795393" spans="31:32" x14ac:dyDescent="0.25">
      <c r="AE795393" s="34"/>
      <c r="AF795393" s="34"/>
    </row>
    <row r="795401" spans="31:32" x14ac:dyDescent="0.25">
      <c r="AE795401" s="36"/>
      <c r="AF795401" s="36"/>
    </row>
    <row r="795497" spans="31:32" x14ac:dyDescent="0.25">
      <c r="AE795497" s="34"/>
      <c r="AF795497" s="34"/>
    </row>
    <row r="795505" spans="31:32" x14ac:dyDescent="0.25">
      <c r="AE795505" s="36"/>
      <c r="AF795505" s="36"/>
    </row>
    <row r="795601" spans="31:32" x14ac:dyDescent="0.25">
      <c r="AE795601" s="34"/>
      <c r="AF795601" s="34"/>
    </row>
    <row r="795609" spans="31:32" x14ac:dyDescent="0.25">
      <c r="AE795609" s="36"/>
      <c r="AF795609" s="36"/>
    </row>
    <row r="795705" spans="31:32" x14ac:dyDescent="0.25">
      <c r="AE795705" s="34"/>
      <c r="AF795705" s="34"/>
    </row>
    <row r="795713" spans="31:32" x14ac:dyDescent="0.25">
      <c r="AE795713" s="36"/>
      <c r="AF795713" s="36"/>
    </row>
    <row r="795809" spans="31:32" x14ac:dyDescent="0.25">
      <c r="AE795809" s="34"/>
      <c r="AF795809" s="34"/>
    </row>
    <row r="795817" spans="31:32" x14ac:dyDescent="0.25">
      <c r="AE795817" s="36"/>
      <c r="AF795817" s="36"/>
    </row>
    <row r="795913" spans="31:32" x14ac:dyDescent="0.25">
      <c r="AE795913" s="34"/>
      <c r="AF795913" s="34"/>
    </row>
    <row r="795921" spans="31:32" x14ac:dyDescent="0.25">
      <c r="AE795921" s="36"/>
      <c r="AF795921" s="36"/>
    </row>
    <row r="796017" spans="31:32" x14ac:dyDescent="0.25">
      <c r="AE796017" s="34"/>
      <c r="AF796017" s="34"/>
    </row>
    <row r="796025" spans="31:32" x14ac:dyDescent="0.25">
      <c r="AE796025" s="36"/>
      <c r="AF796025" s="36"/>
    </row>
    <row r="796121" spans="31:32" x14ac:dyDescent="0.25">
      <c r="AE796121" s="34"/>
      <c r="AF796121" s="34"/>
    </row>
    <row r="796129" spans="31:32" x14ac:dyDescent="0.25">
      <c r="AE796129" s="36"/>
      <c r="AF796129" s="36"/>
    </row>
    <row r="796225" spans="31:32" x14ac:dyDescent="0.25">
      <c r="AE796225" s="34"/>
      <c r="AF796225" s="34"/>
    </row>
    <row r="796233" spans="31:32" x14ac:dyDescent="0.25">
      <c r="AE796233" s="36"/>
      <c r="AF796233" s="36"/>
    </row>
    <row r="796329" spans="31:32" x14ac:dyDescent="0.25">
      <c r="AE796329" s="34"/>
      <c r="AF796329" s="34"/>
    </row>
    <row r="796337" spans="31:32" x14ac:dyDescent="0.25">
      <c r="AE796337" s="36"/>
      <c r="AF796337" s="36"/>
    </row>
    <row r="796433" spans="31:32" x14ac:dyDescent="0.25">
      <c r="AE796433" s="34"/>
      <c r="AF796433" s="34"/>
    </row>
    <row r="796441" spans="31:32" x14ac:dyDescent="0.25">
      <c r="AE796441" s="36"/>
      <c r="AF796441" s="36"/>
    </row>
    <row r="796537" spans="31:32" x14ac:dyDescent="0.25">
      <c r="AE796537" s="34"/>
      <c r="AF796537" s="34"/>
    </row>
    <row r="796545" spans="31:32" x14ac:dyDescent="0.25">
      <c r="AE796545" s="36"/>
      <c r="AF796545" s="36"/>
    </row>
    <row r="796641" spans="31:32" x14ac:dyDescent="0.25">
      <c r="AE796641" s="34"/>
      <c r="AF796641" s="34"/>
    </row>
    <row r="796649" spans="31:32" x14ac:dyDescent="0.25">
      <c r="AE796649" s="36"/>
      <c r="AF796649" s="36"/>
    </row>
    <row r="796745" spans="31:32" x14ac:dyDescent="0.25">
      <c r="AE796745" s="34"/>
      <c r="AF796745" s="34"/>
    </row>
    <row r="796753" spans="31:32" x14ac:dyDescent="0.25">
      <c r="AE796753" s="36"/>
      <c r="AF796753" s="36"/>
    </row>
    <row r="796849" spans="31:32" x14ac:dyDescent="0.25">
      <c r="AE796849" s="34"/>
      <c r="AF796849" s="34"/>
    </row>
    <row r="796857" spans="31:32" x14ac:dyDescent="0.25">
      <c r="AE796857" s="36"/>
      <c r="AF796857" s="36"/>
    </row>
    <row r="796953" spans="31:32" x14ac:dyDescent="0.25">
      <c r="AE796953" s="34"/>
      <c r="AF796953" s="34"/>
    </row>
    <row r="796961" spans="31:32" x14ac:dyDescent="0.25">
      <c r="AE796961" s="36"/>
      <c r="AF796961" s="36"/>
    </row>
    <row r="797057" spans="31:32" x14ac:dyDescent="0.25">
      <c r="AE797057" s="34"/>
      <c r="AF797057" s="34"/>
    </row>
    <row r="797065" spans="31:32" x14ac:dyDescent="0.25">
      <c r="AE797065" s="36"/>
      <c r="AF797065" s="36"/>
    </row>
    <row r="797161" spans="31:32" x14ac:dyDescent="0.25">
      <c r="AE797161" s="34"/>
      <c r="AF797161" s="34"/>
    </row>
    <row r="797169" spans="31:32" x14ac:dyDescent="0.25">
      <c r="AE797169" s="36"/>
      <c r="AF797169" s="36"/>
    </row>
    <row r="797265" spans="31:32" x14ac:dyDescent="0.25">
      <c r="AE797265" s="34"/>
      <c r="AF797265" s="34"/>
    </row>
    <row r="797273" spans="31:32" x14ac:dyDescent="0.25">
      <c r="AE797273" s="36"/>
      <c r="AF797273" s="36"/>
    </row>
    <row r="797369" spans="31:32" x14ac:dyDescent="0.25">
      <c r="AE797369" s="34"/>
      <c r="AF797369" s="34"/>
    </row>
    <row r="797377" spans="31:32" x14ac:dyDescent="0.25">
      <c r="AE797377" s="36"/>
      <c r="AF797377" s="36"/>
    </row>
    <row r="797473" spans="31:32" x14ac:dyDescent="0.25">
      <c r="AE797473" s="34"/>
      <c r="AF797473" s="34"/>
    </row>
    <row r="797481" spans="31:32" x14ac:dyDescent="0.25">
      <c r="AE797481" s="36"/>
      <c r="AF797481" s="36"/>
    </row>
    <row r="797577" spans="31:32" x14ac:dyDescent="0.25">
      <c r="AE797577" s="34"/>
      <c r="AF797577" s="34"/>
    </row>
    <row r="797585" spans="31:32" x14ac:dyDescent="0.25">
      <c r="AE797585" s="36"/>
      <c r="AF797585" s="36"/>
    </row>
    <row r="797681" spans="31:32" x14ac:dyDescent="0.25">
      <c r="AE797681" s="34"/>
      <c r="AF797681" s="34"/>
    </row>
    <row r="797689" spans="31:32" x14ac:dyDescent="0.25">
      <c r="AE797689" s="36"/>
      <c r="AF797689" s="36"/>
    </row>
    <row r="797785" spans="31:32" x14ac:dyDescent="0.25">
      <c r="AE797785" s="34"/>
      <c r="AF797785" s="34"/>
    </row>
    <row r="797793" spans="31:32" x14ac:dyDescent="0.25">
      <c r="AE797793" s="36"/>
      <c r="AF797793" s="36"/>
    </row>
    <row r="797889" spans="31:32" x14ac:dyDescent="0.25">
      <c r="AE797889" s="34"/>
      <c r="AF797889" s="34"/>
    </row>
    <row r="797897" spans="31:32" x14ac:dyDescent="0.25">
      <c r="AE797897" s="36"/>
      <c r="AF797897" s="36"/>
    </row>
    <row r="797993" spans="31:32" x14ac:dyDescent="0.25">
      <c r="AE797993" s="34"/>
      <c r="AF797993" s="34"/>
    </row>
    <row r="798001" spans="31:32" x14ac:dyDescent="0.25">
      <c r="AE798001" s="36"/>
      <c r="AF798001" s="36"/>
    </row>
    <row r="798097" spans="31:32" x14ac:dyDescent="0.25">
      <c r="AE798097" s="34"/>
      <c r="AF798097" s="34"/>
    </row>
    <row r="798105" spans="31:32" x14ac:dyDescent="0.25">
      <c r="AE798105" s="36"/>
      <c r="AF798105" s="36"/>
    </row>
    <row r="798201" spans="31:32" x14ac:dyDescent="0.25">
      <c r="AE798201" s="34"/>
      <c r="AF798201" s="34"/>
    </row>
    <row r="798209" spans="31:32" x14ac:dyDescent="0.25">
      <c r="AE798209" s="36"/>
      <c r="AF798209" s="36"/>
    </row>
    <row r="798305" spans="31:32" x14ac:dyDescent="0.25">
      <c r="AE798305" s="34"/>
      <c r="AF798305" s="34"/>
    </row>
    <row r="798313" spans="31:32" x14ac:dyDescent="0.25">
      <c r="AE798313" s="36"/>
      <c r="AF798313" s="36"/>
    </row>
    <row r="798409" spans="31:32" x14ac:dyDescent="0.25">
      <c r="AE798409" s="34"/>
      <c r="AF798409" s="34"/>
    </row>
    <row r="798417" spans="31:32" x14ac:dyDescent="0.25">
      <c r="AE798417" s="36"/>
      <c r="AF798417" s="36"/>
    </row>
    <row r="798513" spans="31:32" x14ac:dyDescent="0.25">
      <c r="AE798513" s="34"/>
      <c r="AF798513" s="34"/>
    </row>
    <row r="798521" spans="31:32" x14ac:dyDescent="0.25">
      <c r="AE798521" s="36"/>
      <c r="AF798521" s="36"/>
    </row>
    <row r="798617" spans="31:32" x14ac:dyDescent="0.25">
      <c r="AE798617" s="34"/>
      <c r="AF798617" s="34"/>
    </row>
    <row r="798625" spans="31:32" x14ac:dyDescent="0.25">
      <c r="AE798625" s="36"/>
      <c r="AF798625" s="36"/>
    </row>
    <row r="798721" spans="31:32" x14ac:dyDescent="0.25">
      <c r="AE798721" s="34"/>
      <c r="AF798721" s="34"/>
    </row>
    <row r="798729" spans="31:32" x14ac:dyDescent="0.25">
      <c r="AE798729" s="36"/>
      <c r="AF798729" s="36"/>
    </row>
    <row r="798825" spans="31:32" x14ac:dyDescent="0.25">
      <c r="AE798825" s="34"/>
      <c r="AF798825" s="34"/>
    </row>
    <row r="798833" spans="31:32" x14ac:dyDescent="0.25">
      <c r="AE798833" s="36"/>
      <c r="AF798833" s="36"/>
    </row>
    <row r="798929" spans="31:32" x14ac:dyDescent="0.25">
      <c r="AE798929" s="34"/>
      <c r="AF798929" s="34"/>
    </row>
    <row r="798937" spans="31:32" x14ac:dyDescent="0.25">
      <c r="AE798937" s="36"/>
      <c r="AF798937" s="36"/>
    </row>
    <row r="799033" spans="31:32" x14ac:dyDescent="0.25">
      <c r="AE799033" s="34"/>
      <c r="AF799033" s="34"/>
    </row>
    <row r="799041" spans="31:32" x14ac:dyDescent="0.25">
      <c r="AE799041" s="36"/>
      <c r="AF799041" s="36"/>
    </row>
    <row r="799137" spans="31:32" x14ac:dyDescent="0.25">
      <c r="AE799137" s="34"/>
      <c r="AF799137" s="34"/>
    </row>
    <row r="799145" spans="31:32" x14ac:dyDescent="0.25">
      <c r="AE799145" s="36"/>
      <c r="AF799145" s="36"/>
    </row>
    <row r="799241" spans="31:32" x14ac:dyDescent="0.25">
      <c r="AE799241" s="34"/>
      <c r="AF799241" s="34"/>
    </row>
    <row r="799249" spans="31:32" x14ac:dyDescent="0.25">
      <c r="AE799249" s="36"/>
      <c r="AF799249" s="36"/>
    </row>
    <row r="799345" spans="31:32" x14ac:dyDescent="0.25">
      <c r="AE799345" s="34"/>
      <c r="AF799345" s="34"/>
    </row>
    <row r="799353" spans="31:32" x14ac:dyDescent="0.25">
      <c r="AE799353" s="36"/>
      <c r="AF799353" s="36"/>
    </row>
    <row r="799449" spans="31:32" x14ac:dyDescent="0.25">
      <c r="AE799449" s="34"/>
      <c r="AF799449" s="34"/>
    </row>
    <row r="799457" spans="31:32" x14ac:dyDescent="0.25">
      <c r="AE799457" s="36"/>
      <c r="AF799457" s="36"/>
    </row>
    <row r="799553" spans="31:32" x14ac:dyDescent="0.25">
      <c r="AE799553" s="34"/>
      <c r="AF799553" s="34"/>
    </row>
    <row r="799561" spans="31:32" x14ac:dyDescent="0.25">
      <c r="AE799561" s="36"/>
      <c r="AF799561" s="36"/>
    </row>
    <row r="799657" spans="31:32" x14ac:dyDescent="0.25">
      <c r="AE799657" s="34"/>
      <c r="AF799657" s="34"/>
    </row>
    <row r="799665" spans="31:32" x14ac:dyDescent="0.25">
      <c r="AE799665" s="36"/>
      <c r="AF799665" s="36"/>
    </row>
    <row r="799761" spans="31:32" x14ac:dyDescent="0.25">
      <c r="AE799761" s="34"/>
      <c r="AF799761" s="34"/>
    </row>
    <row r="799769" spans="31:32" x14ac:dyDescent="0.25">
      <c r="AE799769" s="36"/>
      <c r="AF799769" s="36"/>
    </row>
    <row r="799865" spans="31:32" x14ac:dyDescent="0.25">
      <c r="AE799865" s="34"/>
      <c r="AF799865" s="34"/>
    </row>
    <row r="799873" spans="31:32" x14ac:dyDescent="0.25">
      <c r="AE799873" s="36"/>
      <c r="AF799873" s="36"/>
    </row>
    <row r="799969" spans="31:32" x14ac:dyDescent="0.25">
      <c r="AE799969" s="34"/>
      <c r="AF799969" s="34"/>
    </row>
    <row r="799977" spans="31:32" x14ac:dyDescent="0.25">
      <c r="AE799977" s="36"/>
      <c r="AF799977" s="36"/>
    </row>
    <row r="800073" spans="31:32" x14ac:dyDescent="0.25">
      <c r="AE800073" s="34"/>
      <c r="AF800073" s="34"/>
    </row>
    <row r="800081" spans="31:32" x14ac:dyDescent="0.25">
      <c r="AE800081" s="36"/>
      <c r="AF800081" s="36"/>
    </row>
    <row r="800177" spans="31:32" x14ac:dyDescent="0.25">
      <c r="AE800177" s="34"/>
      <c r="AF800177" s="34"/>
    </row>
    <row r="800185" spans="31:32" x14ac:dyDescent="0.25">
      <c r="AE800185" s="36"/>
      <c r="AF800185" s="36"/>
    </row>
    <row r="800281" spans="31:32" x14ac:dyDescent="0.25">
      <c r="AE800281" s="34"/>
      <c r="AF800281" s="34"/>
    </row>
    <row r="800289" spans="31:32" x14ac:dyDescent="0.25">
      <c r="AE800289" s="36"/>
      <c r="AF800289" s="36"/>
    </row>
    <row r="800385" spans="31:32" x14ac:dyDescent="0.25">
      <c r="AE800385" s="34"/>
      <c r="AF800385" s="34"/>
    </row>
    <row r="800393" spans="31:32" x14ac:dyDescent="0.25">
      <c r="AE800393" s="36"/>
      <c r="AF800393" s="36"/>
    </row>
    <row r="800489" spans="31:32" x14ac:dyDescent="0.25">
      <c r="AE800489" s="34"/>
      <c r="AF800489" s="34"/>
    </row>
    <row r="800497" spans="31:32" x14ac:dyDescent="0.25">
      <c r="AE800497" s="36"/>
      <c r="AF800497" s="36"/>
    </row>
    <row r="800593" spans="31:32" x14ac:dyDescent="0.25">
      <c r="AE800593" s="34"/>
      <c r="AF800593" s="34"/>
    </row>
    <row r="800601" spans="31:32" x14ac:dyDescent="0.25">
      <c r="AE800601" s="36"/>
      <c r="AF800601" s="36"/>
    </row>
    <row r="800697" spans="31:32" x14ac:dyDescent="0.25">
      <c r="AE800697" s="34"/>
      <c r="AF800697" s="34"/>
    </row>
    <row r="800705" spans="31:32" x14ac:dyDescent="0.25">
      <c r="AE800705" s="36"/>
      <c r="AF800705" s="36"/>
    </row>
    <row r="800801" spans="31:32" x14ac:dyDescent="0.25">
      <c r="AE800801" s="34"/>
      <c r="AF800801" s="34"/>
    </row>
    <row r="800809" spans="31:32" x14ac:dyDescent="0.25">
      <c r="AE800809" s="36"/>
      <c r="AF800809" s="36"/>
    </row>
    <row r="800905" spans="31:32" x14ac:dyDescent="0.25">
      <c r="AE800905" s="34"/>
      <c r="AF800905" s="34"/>
    </row>
    <row r="800913" spans="31:32" x14ac:dyDescent="0.25">
      <c r="AE800913" s="36"/>
      <c r="AF800913" s="36"/>
    </row>
    <row r="801009" spans="31:32" x14ac:dyDescent="0.25">
      <c r="AE801009" s="34"/>
      <c r="AF801009" s="34"/>
    </row>
    <row r="801017" spans="31:32" x14ac:dyDescent="0.25">
      <c r="AE801017" s="36"/>
      <c r="AF801017" s="36"/>
    </row>
    <row r="801113" spans="31:32" x14ac:dyDescent="0.25">
      <c r="AE801113" s="34"/>
      <c r="AF801113" s="34"/>
    </row>
    <row r="801121" spans="31:32" x14ac:dyDescent="0.25">
      <c r="AE801121" s="36"/>
      <c r="AF801121" s="36"/>
    </row>
    <row r="801217" spans="31:32" x14ac:dyDescent="0.25">
      <c r="AE801217" s="34"/>
      <c r="AF801217" s="34"/>
    </row>
    <row r="801225" spans="31:32" x14ac:dyDescent="0.25">
      <c r="AE801225" s="36"/>
      <c r="AF801225" s="36"/>
    </row>
    <row r="801321" spans="31:32" x14ac:dyDescent="0.25">
      <c r="AE801321" s="34"/>
      <c r="AF801321" s="34"/>
    </row>
    <row r="801329" spans="31:32" x14ac:dyDescent="0.25">
      <c r="AE801329" s="36"/>
      <c r="AF801329" s="36"/>
    </row>
    <row r="801425" spans="31:32" x14ac:dyDescent="0.25">
      <c r="AE801425" s="34"/>
      <c r="AF801425" s="34"/>
    </row>
    <row r="801433" spans="31:32" x14ac:dyDescent="0.25">
      <c r="AE801433" s="36"/>
      <c r="AF801433" s="36"/>
    </row>
    <row r="801529" spans="31:32" x14ac:dyDescent="0.25">
      <c r="AE801529" s="34"/>
      <c r="AF801529" s="34"/>
    </row>
    <row r="801537" spans="31:32" x14ac:dyDescent="0.25">
      <c r="AE801537" s="36"/>
      <c r="AF801537" s="36"/>
    </row>
    <row r="801633" spans="31:32" x14ac:dyDescent="0.25">
      <c r="AE801633" s="34"/>
      <c r="AF801633" s="34"/>
    </row>
    <row r="801641" spans="31:32" x14ac:dyDescent="0.25">
      <c r="AE801641" s="36"/>
      <c r="AF801641" s="36"/>
    </row>
    <row r="801737" spans="31:32" x14ac:dyDescent="0.25">
      <c r="AE801737" s="34"/>
      <c r="AF801737" s="34"/>
    </row>
    <row r="801745" spans="31:32" x14ac:dyDescent="0.25">
      <c r="AE801745" s="36"/>
      <c r="AF801745" s="36"/>
    </row>
    <row r="801841" spans="31:32" x14ac:dyDescent="0.25">
      <c r="AE801841" s="34"/>
      <c r="AF801841" s="34"/>
    </row>
    <row r="801849" spans="31:32" x14ac:dyDescent="0.25">
      <c r="AE801849" s="36"/>
      <c r="AF801849" s="36"/>
    </row>
    <row r="801945" spans="31:32" x14ac:dyDescent="0.25">
      <c r="AE801945" s="34"/>
      <c r="AF801945" s="34"/>
    </row>
    <row r="801953" spans="31:32" x14ac:dyDescent="0.25">
      <c r="AE801953" s="36"/>
      <c r="AF801953" s="36"/>
    </row>
    <row r="802049" spans="31:32" x14ac:dyDescent="0.25">
      <c r="AE802049" s="34"/>
      <c r="AF802049" s="34"/>
    </row>
    <row r="802057" spans="31:32" x14ac:dyDescent="0.25">
      <c r="AE802057" s="36"/>
      <c r="AF802057" s="36"/>
    </row>
    <row r="802153" spans="31:32" x14ac:dyDescent="0.25">
      <c r="AE802153" s="34"/>
      <c r="AF802153" s="34"/>
    </row>
    <row r="802161" spans="31:32" x14ac:dyDescent="0.25">
      <c r="AE802161" s="36"/>
      <c r="AF802161" s="36"/>
    </row>
    <row r="802257" spans="31:32" x14ac:dyDescent="0.25">
      <c r="AE802257" s="34"/>
      <c r="AF802257" s="34"/>
    </row>
    <row r="802265" spans="31:32" x14ac:dyDescent="0.25">
      <c r="AE802265" s="36"/>
      <c r="AF802265" s="36"/>
    </row>
    <row r="802361" spans="31:32" x14ac:dyDescent="0.25">
      <c r="AE802361" s="34"/>
      <c r="AF802361" s="34"/>
    </row>
    <row r="802369" spans="31:32" x14ac:dyDescent="0.25">
      <c r="AE802369" s="36"/>
      <c r="AF802369" s="36"/>
    </row>
    <row r="802465" spans="31:32" x14ac:dyDescent="0.25">
      <c r="AE802465" s="34"/>
      <c r="AF802465" s="34"/>
    </row>
    <row r="802473" spans="31:32" x14ac:dyDescent="0.25">
      <c r="AE802473" s="36"/>
      <c r="AF802473" s="36"/>
    </row>
    <row r="802569" spans="31:32" x14ac:dyDescent="0.25">
      <c r="AE802569" s="34"/>
      <c r="AF802569" s="34"/>
    </row>
    <row r="802577" spans="31:32" x14ac:dyDescent="0.25">
      <c r="AE802577" s="36"/>
      <c r="AF802577" s="36"/>
    </row>
    <row r="802673" spans="31:32" x14ac:dyDescent="0.25">
      <c r="AE802673" s="34"/>
      <c r="AF802673" s="34"/>
    </row>
    <row r="802681" spans="31:32" x14ac:dyDescent="0.25">
      <c r="AE802681" s="36"/>
      <c r="AF802681" s="36"/>
    </row>
    <row r="802777" spans="31:32" x14ac:dyDescent="0.25">
      <c r="AE802777" s="34"/>
      <c r="AF802777" s="34"/>
    </row>
    <row r="802785" spans="31:32" x14ac:dyDescent="0.25">
      <c r="AE802785" s="36"/>
      <c r="AF802785" s="36"/>
    </row>
    <row r="802881" spans="31:32" x14ac:dyDescent="0.25">
      <c r="AE802881" s="34"/>
      <c r="AF802881" s="34"/>
    </row>
    <row r="802889" spans="31:32" x14ac:dyDescent="0.25">
      <c r="AE802889" s="36"/>
      <c r="AF802889" s="36"/>
    </row>
    <row r="802985" spans="31:32" x14ac:dyDescent="0.25">
      <c r="AE802985" s="34"/>
      <c r="AF802985" s="34"/>
    </row>
    <row r="802993" spans="31:32" x14ac:dyDescent="0.25">
      <c r="AE802993" s="36"/>
      <c r="AF802993" s="36"/>
    </row>
    <row r="803089" spans="31:32" x14ac:dyDescent="0.25">
      <c r="AE803089" s="34"/>
      <c r="AF803089" s="34"/>
    </row>
    <row r="803097" spans="31:32" x14ac:dyDescent="0.25">
      <c r="AE803097" s="36"/>
      <c r="AF803097" s="36"/>
    </row>
    <row r="803193" spans="31:32" x14ac:dyDescent="0.25">
      <c r="AE803193" s="34"/>
      <c r="AF803193" s="34"/>
    </row>
    <row r="803201" spans="31:32" x14ac:dyDescent="0.25">
      <c r="AE803201" s="36"/>
      <c r="AF803201" s="36"/>
    </row>
    <row r="803297" spans="31:32" x14ac:dyDescent="0.25">
      <c r="AE803297" s="34"/>
      <c r="AF803297" s="34"/>
    </row>
    <row r="803305" spans="31:32" x14ac:dyDescent="0.25">
      <c r="AE803305" s="36"/>
      <c r="AF803305" s="36"/>
    </row>
    <row r="803401" spans="31:32" x14ac:dyDescent="0.25">
      <c r="AE803401" s="34"/>
      <c r="AF803401" s="34"/>
    </row>
    <row r="803409" spans="31:32" x14ac:dyDescent="0.25">
      <c r="AE803409" s="36"/>
      <c r="AF803409" s="36"/>
    </row>
    <row r="803505" spans="31:32" x14ac:dyDescent="0.25">
      <c r="AE803505" s="34"/>
      <c r="AF803505" s="34"/>
    </row>
    <row r="803513" spans="31:32" x14ac:dyDescent="0.25">
      <c r="AE803513" s="36"/>
      <c r="AF803513" s="36"/>
    </row>
    <row r="803609" spans="31:32" x14ac:dyDescent="0.25">
      <c r="AE803609" s="34"/>
      <c r="AF803609" s="34"/>
    </row>
    <row r="803617" spans="31:32" x14ac:dyDescent="0.25">
      <c r="AE803617" s="36"/>
      <c r="AF803617" s="36"/>
    </row>
    <row r="803713" spans="31:32" x14ac:dyDescent="0.25">
      <c r="AE803713" s="34"/>
      <c r="AF803713" s="34"/>
    </row>
    <row r="803721" spans="31:32" x14ac:dyDescent="0.25">
      <c r="AE803721" s="36"/>
      <c r="AF803721" s="36"/>
    </row>
    <row r="803817" spans="31:32" x14ac:dyDescent="0.25">
      <c r="AE803817" s="34"/>
      <c r="AF803817" s="34"/>
    </row>
    <row r="803825" spans="31:32" x14ac:dyDescent="0.25">
      <c r="AE803825" s="36"/>
      <c r="AF803825" s="36"/>
    </row>
    <row r="803921" spans="31:32" x14ac:dyDescent="0.25">
      <c r="AE803921" s="34"/>
      <c r="AF803921" s="34"/>
    </row>
    <row r="803929" spans="31:32" x14ac:dyDescent="0.25">
      <c r="AE803929" s="36"/>
      <c r="AF803929" s="36"/>
    </row>
    <row r="804025" spans="31:32" x14ac:dyDescent="0.25">
      <c r="AE804025" s="34"/>
      <c r="AF804025" s="34"/>
    </row>
    <row r="804033" spans="31:32" x14ac:dyDescent="0.25">
      <c r="AE804033" s="36"/>
      <c r="AF804033" s="36"/>
    </row>
    <row r="804129" spans="31:32" x14ac:dyDescent="0.25">
      <c r="AE804129" s="34"/>
      <c r="AF804129" s="34"/>
    </row>
    <row r="804137" spans="31:32" x14ac:dyDescent="0.25">
      <c r="AE804137" s="36"/>
      <c r="AF804137" s="36"/>
    </row>
    <row r="804233" spans="31:32" x14ac:dyDescent="0.25">
      <c r="AE804233" s="34"/>
      <c r="AF804233" s="34"/>
    </row>
    <row r="804241" spans="31:32" x14ac:dyDescent="0.25">
      <c r="AE804241" s="36"/>
      <c r="AF804241" s="36"/>
    </row>
    <row r="804337" spans="31:32" x14ac:dyDescent="0.25">
      <c r="AE804337" s="34"/>
      <c r="AF804337" s="34"/>
    </row>
    <row r="804345" spans="31:32" x14ac:dyDescent="0.25">
      <c r="AE804345" s="36"/>
      <c r="AF804345" s="36"/>
    </row>
    <row r="804441" spans="31:32" x14ac:dyDescent="0.25">
      <c r="AE804441" s="34"/>
      <c r="AF804441" s="34"/>
    </row>
    <row r="804449" spans="31:32" x14ac:dyDescent="0.25">
      <c r="AE804449" s="36"/>
      <c r="AF804449" s="36"/>
    </row>
    <row r="804545" spans="31:32" x14ac:dyDescent="0.25">
      <c r="AE804545" s="34"/>
      <c r="AF804545" s="34"/>
    </row>
    <row r="804553" spans="31:32" x14ac:dyDescent="0.25">
      <c r="AE804553" s="36"/>
      <c r="AF804553" s="36"/>
    </row>
    <row r="804649" spans="31:32" x14ac:dyDescent="0.25">
      <c r="AE804649" s="34"/>
      <c r="AF804649" s="34"/>
    </row>
    <row r="804657" spans="31:32" x14ac:dyDescent="0.25">
      <c r="AE804657" s="36"/>
      <c r="AF804657" s="36"/>
    </row>
    <row r="804753" spans="31:32" x14ac:dyDescent="0.25">
      <c r="AE804753" s="34"/>
      <c r="AF804753" s="34"/>
    </row>
    <row r="804761" spans="31:32" x14ac:dyDescent="0.25">
      <c r="AE804761" s="36"/>
      <c r="AF804761" s="36"/>
    </row>
    <row r="804857" spans="31:32" x14ac:dyDescent="0.25">
      <c r="AE804857" s="34"/>
      <c r="AF804857" s="34"/>
    </row>
    <row r="804865" spans="31:32" x14ac:dyDescent="0.25">
      <c r="AE804865" s="36"/>
      <c r="AF804865" s="36"/>
    </row>
    <row r="804961" spans="31:32" x14ac:dyDescent="0.25">
      <c r="AE804961" s="34"/>
      <c r="AF804961" s="34"/>
    </row>
    <row r="804969" spans="31:32" x14ac:dyDescent="0.25">
      <c r="AE804969" s="36"/>
      <c r="AF804969" s="36"/>
    </row>
    <row r="805065" spans="31:32" x14ac:dyDescent="0.25">
      <c r="AE805065" s="34"/>
      <c r="AF805065" s="34"/>
    </row>
    <row r="805073" spans="31:32" x14ac:dyDescent="0.25">
      <c r="AE805073" s="36"/>
      <c r="AF805073" s="36"/>
    </row>
    <row r="805169" spans="31:32" x14ac:dyDescent="0.25">
      <c r="AE805169" s="34"/>
      <c r="AF805169" s="34"/>
    </row>
    <row r="805177" spans="31:32" x14ac:dyDescent="0.25">
      <c r="AE805177" s="36"/>
      <c r="AF805177" s="36"/>
    </row>
    <row r="805273" spans="31:32" x14ac:dyDescent="0.25">
      <c r="AE805273" s="34"/>
      <c r="AF805273" s="34"/>
    </row>
    <row r="805281" spans="31:32" x14ac:dyDescent="0.25">
      <c r="AE805281" s="36"/>
      <c r="AF805281" s="36"/>
    </row>
    <row r="805377" spans="31:32" x14ac:dyDescent="0.25">
      <c r="AE805377" s="34"/>
      <c r="AF805377" s="34"/>
    </row>
    <row r="805385" spans="31:32" x14ac:dyDescent="0.25">
      <c r="AE805385" s="36"/>
      <c r="AF805385" s="36"/>
    </row>
    <row r="805481" spans="31:32" x14ac:dyDescent="0.25">
      <c r="AE805481" s="34"/>
      <c r="AF805481" s="34"/>
    </row>
    <row r="805489" spans="31:32" x14ac:dyDescent="0.25">
      <c r="AE805489" s="36"/>
      <c r="AF805489" s="36"/>
    </row>
    <row r="805585" spans="31:32" x14ac:dyDescent="0.25">
      <c r="AE805585" s="34"/>
      <c r="AF805585" s="34"/>
    </row>
    <row r="805593" spans="31:32" x14ac:dyDescent="0.25">
      <c r="AE805593" s="36"/>
      <c r="AF805593" s="36"/>
    </row>
    <row r="805689" spans="31:32" x14ac:dyDescent="0.25">
      <c r="AE805689" s="34"/>
      <c r="AF805689" s="34"/>
    </row>
    <row r="805697" spans="31:32" x14ac:dyDescent="0.25">
      <c r="AE805697" s="36"/>
      <c r="AF805697" s="36"/>
    </row>
    <row r="805793" spans="31:32" x14ac:dyDescent="0.25">
      <c r="AE805793" s="34"/>
      <c r="AF805793" s="34"/>
    </row>
    <row r="805801" spans="31:32" x14ac:dyDescent="0.25">
      <c r="AE805801" s="36"/>
      <c r="AF805801" s="36"/>
    </row>
    <row r="805897" spans="31:32" x14ac:dyDescent="0.25">
      <c r="AE805897" s="34"/>
      <c r="AF805897" s="34"/>
    </row>
    <row r="805905" spans="31:32" x14ac:dyDescent="0.25">
      <c r="AE805905" s="36"/>
      <c r="AF805905" s="36"/>
    </row>
    <row r="806001" spans="31:32" x14ac:dyDescent="0.25">
      <c r="AE806001" s="34"/>
      <c r="AF806001" s="34"/>
    </row>
    <row r="806009" spans="31:32" x14ac:dyDescent="0.25">
      <c r="AE806009" s="36"/>
      <c r="AF806009" s="36"/>
    </row>
    <row r="806105" spans="31:32" x14ac:dyDescent="0.25">
      <c r="AE806105" s="34"/>
      <c r="AF806105" s="34"/>
    </row>
    <row r="806113" spans="31:32" x14ac:dyDescent="0.25">
      <c r="AE806113" s="36"/>
      <c r="AF806113" s="36"/>
    </row>
    <row r="806209" spans="31:32" x14ac:dyDescent="0.25">
      <c r="AE806209" s="34"/>
      <c r="AF806209" s="34"/>
    </row>
    <row r="806217" spans="31:32" x14ac:dyDescent="0.25">
      <c r="AE806217" s="36"/>
      <c r="AF806217" s="36"/>
    </row>
    <row r="806313" spans="31:32" x14ac:dyDescent="0.25">
      <c r="AE806313" s="34"/>
      <c r="AF806313" s="34"/>
    </row>
    <row r="806321" spans="31:32" x14ac:dyDescent="0.25">
      <c r="AE806321" s="36"/>
      <c r="AF806321" s="36"/>
    </row>
    <row r="806417" spans="31:32" x14ac:dyDescent="0.25">
      <c r="AE806417" s="34"/>
      <c r="AF806417" s="34"/>
    </row>
    <row r="806425" spans="31:32" x14ac:dyDescent="0.25">
      <c r="AE806425" s="36"/>
      <c r="AF806425" s="36"/>
    </row>
    <row r="806521" spans="31:32" x14ac:dyDescent="0.25">
      <c r="AE806521" s="34"/>
      <c r="AF806521" s="34"/>
    </row>
    <row r="806529" spans="31:32" x14ac:dyDescent="0.25">
      <c r="AE806529" s="36"/>
      <c r="AF806529" s="36"/>
    </row>
    <row r="806625" spans="31:32" x14ac:dyDescent="0.25">
      <c r="AE806625" s="34"/>
      <c r="AF806625" s="34"/>
    </row>
    <row r="806633" spans="31:32" x14ac:dyDescent="0.25">
      <c r="AE806633" s="36"/>
      <c r="AF806633" s="36"/>
    </row>
    <row r="806729" spans="31:32" x14ac:dyDescent="0.25">
      <c r="AE806729" s="34"/>
      <c r="AF806729" s="34"/>
    </row>
    <row r="806737" spans="31:32" x14ac:dyDescent="0.25">
      <c r="AE806737" s="36"/>
      <c r="AF806737" s="36"/>
    </row>
    <row r="806833" spans="31:32" x14ac:dyDescent="0.25">
      <c r="AE806833" s="34"/>
      <c r="AF806833" s="34"/>
    </row>
    <row r="806841" spans="31:32" x14ac:dyDescent="0.25">
      <c r="AE806841" s="36"/>
      <c r="AF806841" s="36"/>
    </row>
    <row r="806937" spans="31:32" x14ac:dyDescent="0.25">
      <c r="AE806937" s="34"/>
      <c r="AF806937" s="34"/>
    </row>
    <row r="806945" spans="31:32" x14ac:dyDescent="0.25">
      <c r="AE806945" s="36"/>
      <c r="AF806945" s="36"/>
    </row>
    <row r="807041" spans="31:32" x14ac:dyDescent="0.25">
      <c r="AE807041" s="34"/>
      <c r="AF807041" s="34"/>
    </row>
    <row r="807049" spans="31:32" x14ac:dyDescent="0.25">
      <c r="AE807049" s="36"/>
      <c r="AF807049" s="36"/>
    </row>
    <row r="807145" spans="31:32" x14ac:dyDescent="0.25">
      <c r="AE807145" s="34"/>
      <c r="AF807145" s="34"/>
    </row>
    <row r="807153" spans="31:32" x14ac:dyDescent="0.25">
      <c r="AE807153" s="36"/>
      <c r="AF807153" s="36"/>
    </row>
    <row r="807249" spans="31:32" x14ac:dyDescent="0.25">
      <c r="AE807249" s="34"/>
      <c r="AF807249" s="34"/>
    </row>
    <row r="807257" spans="31:32" x14ac:dyDescent="0.25">
      <c r="AE807257" s="36"/>
      <c r="AF807257" s="36"/>
    </row>
    <row r="807353" spans="31:32" x14ac:dyDescent="0.25">
      <c r="AE807353" s="34"/>
      <c r="AF807353" s="34"/>
    </row>
    <row r="807361" spans="31:32" x14ac:dyDescent="0.25">
      <c r="AE807361" s="36"/>
      <c r="AF807361" s="36"/>
    </row>
    <row r="807457" spans="31:32" x14ac:dyDescent="0.25">
      <c r="AE807457" s="34"/>
      <c r="AF807457" s="34"/>
    </row>
    <row r="807465" spans="31:32" x14ac:dyDescent="0.25">
      <c r="AE807465" s="36"/>
      <c r="AF807465" s="36"/>
    </row>
    <row r="807561" spans="31:32" x14ac:dyDescent="0.25">
      <c r="AE807561" s="34"/>
      <c r="AF807561" s="34"/>
    </row>
    <row r="807569" spans="31:32" x14ac:dyDescent="0.25">
      <c r="AE807569" s="36"/>
      <c r="AF807569" s="36"/>
    </row>
    <row r="807665" spans="31:32" x14ac:dyDescent="0.25">
      <c r="AE807665" s="34"/>
      <c r="AF807665" s="34"/>
    </row>
    <row r="807673" spans="31:32" x14ac:dyDescent="0.25">
      <c r="AE807673" s="36"/>
      <c r="AF807673" s="36"/>
    </row>
    <row r="807769" spans="31:32" x14ac:dyDescent="0.25">
      <c r="AE807769" s="34"/>
      <c r="AF807769" s="34"/>
    </row>
    <row r="807777" spans="31:32" x14ac:dyDescent="0.25">
      <c r="AE807777" s="36"/>
      <c r="AF807777" s="36"/>
    </row>
    <row r="807873" spans="31:32" x14ac:dyDescent="0.25">
      <c r="AE807873" s="34"/>
      <c r="AF807873" s="34"/>
    </row>
    <row r="807881" spans="31:32" x14ac:dyDescent="0.25">
      <c r="AE807881" s="36"/>
      <c r="AF807881" s="36"/>
    </row>
    <row r="807977" spans="31:32" x14ac:dyDescent="0.25">
      <c r="AE807977" s="34"/>
      <c r="AF807977" s="34"/>
    </row>
    <row r="807985" spans="31:32" x14ac:dyDescent="0.25">
      <c r="AE807985" s="36"/>
      <c r="AF807985" s="36"/>
    </row>
    <row r="808081" spans="31:32" x14ac:dyDescent="0.25">
      <c r="AE808081" s="34"/>
      <c r="AF808081" s="34"/>
    </row>
    <row r="808089" spans="31:32" x14ac:dyDescent="0.25">
      <c r="AE808089" s="36"/>
      <c r="AF808089" s="36"/>
    </row>
    <row r="808185" spans="31:32" x14ac:dyDescent="0.25">
      <c r="AE808185" s="34"/>
      <c r="AF808185" s="34"/>
    </row>
    <row r="808193" spans="31:32" x14ac:dyDescent="0.25">
      <c r="AE808193" s="36"/>
      <c r="AF808193" s="36"/>
    </row>
    <row r="808289" spans="31:32" x14ac:dyDescent="0.25">
      <c r="AE808289" s="34"/>
      <c r="AF808289" s="34"/>
    </row>
    <row r="808297" spans="31:32" x14ac:dyDescent="0.25">
      <c r="AE808297" s="36"/>
      <c r="AF808297" s="36"/>
    </row>
    <row r="808393" spans="31:32" x14ac:dyDescent="0.25">
      <c r="AE808393" s="34"/>
      <c r="AF808393" s="34"/>
    </row>
    <row r="808401" spans="31:32" x14ac:dyDescent="0.25">
      <c r="AE808401" s="36"/>
      <c r="AF808401" s="36"/>
    </row>
    <row r="808497" spans="31:32" x14ac:dyDescent="0.25">
      <c r="AE808497" s="34"/>
      <c r="AF808497" s="34"/>
    </row>
    <row r="808505" spans="31:32" x14ac:dyDescent="0.25">
      <c r="AE808505" s="36"/>
      <c r="AF808505" s="36"/>
    </row>
    <row r="808601" spans="31:32" x14ac:dyDescent="0.25">
      <c r="AE808601" s="34"/>
      <c r="AF808601" s="34"/>
    </row>
    <row r="808609" spans="31:32" x14ac:dyDescent="0.25">
      <c r="AE808609" s="36"/>
      <c r="AF808609" s="36"/>
    </row>
    <row r="808705" spans="31:32" x14ac:dyDescent="0.25">
      <c r="AE808705" s="34"/>
      <c r="AF808705" s="34"/>
    </row>
    <row r="808713" spans="31:32" x14ac:dyDescent="0.25">
      <c r="AE808713" s="36"/>
      <c r="AF808713" s="36"/>
    </row>
    <row r="808809" spans="31:32" x14ac:dyDescent="0.25">
      <c r="AE808809" s="34"/>
      <c r="AF808809" s="34"/>
    </row>
    <row r="808817" spans="31:32" x14ac:dyDescent="0.25">
      <c r="AE808817" s="36"/>
      <c r="AF808817" s="36"/>
    </row>
    <row r="808913" spans="31:32" x14ac:dyDescent="0.25">
      <c r="AE808913" s="34"/>
      <c r="AF808913" s="34"/>
    </row>
    <row r="808921" spans="31:32" x14ac:dyDescent="0.25">
      <c r="AE808921" s="36"/>
      <c r="AF808921" s="36"/>
    </row>
    <row r="809017" spans="31:32" x14ac:dyDescent="0.25">
      <c r="AE809017" s="34"/>
      <c r="AF809017" s="34"/>
    </row>
    <row r="809025" spans="31:32" x14ac:dyDescent="0.25">
      <c r="AE809025" s="36"/>
      <c r="AF809025" s="36"/>
    </row>
    <row r="809121" spans="31:32" x14ac:dyDescent="0.25">
      <c r="AE809121" s="34"/>
      <c r="AF809121" s="34"/>
    </row>
    <row r="809129" spans="31:32" x14ac:dyDescent="0.25">
      <c r="AE809129" s="36"/>
      <c r="AF809129" s="36"/>
    </row>
    <row r="809225" spans="31:32" x14ac:dyDescent="0.25">
      <c r="AE809225" s="34"/>
      <c r="AF809225" s="34"/>
    </row>
    <row r="809233" spans="31:32" x14ac:dyDescent="0.25">
      <c r="AE809233" s="36"/>
      <c r="AF809233" s="36"/>
    </row>
    <row r="809329" spans="31:32" x14ac:dyDescent="0.25">
      <c r="AE809329" s="34"/>
      <c r="AF809329" s="34"/>
    </row>
    <row r="809337" spans="31:32" x14ac:dyDescent="0.25">
      <c r="AE809337" s="36"/>
      <c r="AF809337" s="36"/>
    </row>
    <row r="809433" spans="31:32" x14ac:dyDescent="0.25">
      <c r="AE809433" s="34"/>
      <c r="AF809433" s="34"/>
    </row>
    <row r="809441" spans="31:32" x14ac:dyDescent="0.25">
      <c r="AE809441" s="36"/>
      <c r="AF809441" s="36"/>
    </row>
    <row r="809537" spans="31:32" x14ac:dyDescent="0.25">
      <c r="AE809537" s="34"/>
      <c r="AF809537" s="34"/>
    </row>
    <row r="809545" spans="31:32" x14ac:dyDescent="0.25">
      <c r="AE809545" s="36"/>
      <c r="AF809545" s="36"/>
    </row>
    <row r="809641" spans="31:32" x14ac:dyDescent="0.25">
      <c r="AE809641" s="34"/>
      <c r="AF809641" s="34"/>
    </row>
    <row r="809649" spans="31:32" x14ac:dyDescent="0.25">
      <c r="AE809649" s="36"/>
      <c r="AF809649" s="36"/>
    </row>
    <row r="809745" spans="31:32" x14ac:dyDescent="0.25">
      <c r="AE809745" s="34"/>
      <c r="AF809745" s="34"/>
    </row>
    <row r="809753" spans="31:32" x14ac:dyDescent="0.25">
      <c r="AE809753" s="36"/>
      <c r="AF809753" s="36"/>
    </row>
    <row r="809849" spans="31:32" x14ac:dyDescent="0.25">
      <c r="AE809849" s="34"/>
      <c r="AF809849" s="34"/>
    </row>
    <row r="809857" spans="31:32" x14ac:dyDescent="0.25">
      <c r="AE809857" s="36"/>
      <c r="AF809857" s="36"/>
    </row>
    <row r="809953" spans="31:32" x14ac:dyDescent="0.25">
      <c r="AE809953" s="34"/>
      <c r="AF809953" s="34"/>
    </row>
    <row r="809961" spans="31:32" x14ac:dyDescent="0.25">
      <c r="AE809961" s="36"/>
      <c r="AF809961" s="36"/>
    </row>
    <row r="810057" spans="31:32" x14ac:dyDescent="0.25">
      <c r="AE810057" s="34"/>
      <c r="AF810057" s="34"/>
    </row>
    <row r="810065" spans="31:32" x14ac:dyDescent="0.25">
      <c r="AE810065" s="36"/>
      <c r="AF810065" s="36"/>
    </row>
    <row r="810161" spans="31:32" x14ac:dyDescent="0.25">
      <c r="AE810161" s="34"/>
      <c r="AF810161" s="34"/>
    </row>
    <row r="810169" spans="31:32" x14ac:dyDescent="0.25">
      <c r="AE810169" s="36"/>
      <c r="AF810169" s="36"/>
    </row>
    <row r="810265" spans="31:32" x14ac:dyDescent="0.25">
      <c r="AE810265" s="34"/>
      <c r="AF810265" s="34"/>
    </row>
    <row r="810273" spans="31:32" x14ac:dyDescent="0.25">
      <c r="AE810273" s="36"/>
      <c r="AF810273" s="36"/>
    </row>
    <row r="810369" spans="31:32" x14ac:dyDescent="0.25">
      <c r="AE810369" s="34"/>
      <c r="AF810369" s="34"/>
    </row>
    <row r="810377" spans="31:32" x14ac:dyDescent="0.25">
      <c r="AE810377" s="36"/>
      <c r="AF810377" s="36"/>
    </row>
    <row r="810473" spans="31:32" x14ac:dyDescent="0.25">
      <c r="AE810473" s="34"/>
      <c r="AF810473" s="34"/>
    </row>
    <row r="810481" spans="31:32" x14ac:dyDescent="0.25">
      <c r="AE810481" s="36"/>
      <c r="AF810481" s="36"/>
    </row>
    <row r="810577" spans="31:32" x14ac:dyDescent="0.25">
      <c r="AE810577" s="34"/>
      <c r="AF810577" s="34"/>
    </row>
    <row r="810585" spans="31:32" x14ac:dyDescent="0.25">
      <c r="AE810585" s="36"/>
      <c r="AF810585" s="36"/>
    </row>
    <row r="810681" spans="31:32" x14ac:dyDescent="0.25">
      <c r="AE810681" s="34"/>
      <c r="AF810681" s="34"/>
    </row>
    <row r="810689" spans="31:32" x14ac:dyDescent="0.25">
      <c r="AE810689" s="36"/>
      <c r="AF810689" s="36"/>
    </row>
    <row r="810785" spans="31:32" x14ac:dyDescent="0.25">
      <c r="AE810785" s="34"/>
      <c r="AF810785" s="34"/>
    </row>
    <row r="810793" spans="31:32" x14ac:dyDescent="0.25">
      <c r="AE810793" s="36"/>
      <c r="AF810793" s="36"/>
    </row>
    <row r="810889" spans="31:32" x14ac:dyDescent="0.25">
      <c r="AE810889" s="34"/>
      <c r="AF810889" s="34"/>
    </row>
    <row r="810897" spans="31:32" x14ac:dyDescent="0.25">
      <c r="AE810897" s="36"/>
      <c r="AF810897" s="36"/>
    </row>
    <row r="810993" spans="31:32" x14ac:dyDescent="0.25">
      <c r="AE810993" s="34"/>
      <c r="AF810993" s="34"/>
    </row>
    <row r="811001" spans="31:32" x14ac:dyDescent="0.25">
      <c r="AE811001" s="36"/>
      <c r="AF811001" s="36"/>
    </row>
    <row r="811097" spans="31:32" x14ac:dyDescent="0.25">
      <c r="AE811097" s="34"/>
      <c r="AF811097" s="34"/>
    </row>
    <row r="811105" spans="31:32" x14ac:dyDescent="0.25">
      <c r="AE811105" s="36"/>
      <c r="AF811105" s="36"/>
    </row>
    <row r="811201" spans="31:32" x14ac:dyDescent="0.25">
      <c r="AE811201" s="34"/>
      <c r="AF811201" s="34"/>
    </row>
    <row r="811209" spans="31:32" x14ac:dyDescent="0.25">
      <c r="AE811209" s="36"/>
      <c r="AF811209" s="36"/>
    </row>
    <row r="811305" spans="31:32" x14ac:dyDescent="0.25">
      <c r="AE811305" s="34"/>
      <c r="AF811305" s="34"/>
    </row>
    <row r="811313" spans="31:32" x14ac:dyDescent="0.25">
      <c r="AE811313" s="36"/>
      <c r="AF811313" s="36"/>
    </row>
    <row r="811409" spans="31:32" x14ac:dyDescent="0.25">
      <c r="AE811409" s="34"/>
      <c r="AF811409" s="34"/>
    </row>
    <row r="811417" spans="31:32" x14ac:dyDescent="0.25">
      <c r="AE811417" s="36"/>
      <c r="AF811417" s="36"/>
    </row>
    <row r="811513" spans="31:32" x14ac:dyDescent="0.25">
      <c r="AE811513" s="34"/>
      <c r="AF811513" s="34"/>
    </row>
    <row r="811521" spans="31:32" x14ac:dyDescent="0.25">
      <c r="AE811521" s="36"/>
      <c r="AF811521" s="36"/>
    </row>
    <row r="811617" spans="31:32" x14ac:dyDescent="0.25">
      <c r="AE811617" s="34"/>
      <c r="AF811617" s="34"/>
    </row>
    <row r="811625" spans="31:32" x14ac:dyDescent="0.25">
      <c r="AE811625" s="36"/>
      <c r="AF811625" s="36"/>
    </row>
    <row r="811721" spans="31:32" x14ac:dyDescent="0.25">
      <c r="AE811721" s="34"/>
      <c r="AF811721" s="34"/>
    </row>
    <row r="811729" spans="31:32" x14ac:dyDescent="0.25">
      <c r="AE811729" s="36"/>
      <c r="AF811729" s="36"/>
    </row>
    <row r="811825" spans="31:32" x14ac:dyDescent="0.25">
      <c r="AE811825" s="34"/>
      <c r="AF811825" s="34"/>
    </row>
    <row r="811833" spans="31:32" x14ac:dyDescent="0.25">
      <c r="AE811833" s="36"/>
      <c r="AF811833" s="36"/>
    </row>
    <row r="811929" spans="31:32" x14ac:dyDescent="0.25">
      <c r="AE811929" s="34"/>
      <c r="AF811929" s="34"/>
    </row>
    <row r="811937" spans="31:32" x14ac:dyDescent="0.25">
      <c r="AE811937" s="36"/>
      <c r="AF811937" s="36"/>
    </row>
    <row r="812033" spans="31:32" x14ac:dyDescent="0.25">
      <c r="AE812033" s="34"/>
      <c r="AF812033" s="34"/>
    </row>
    <row r="812041" spans="31:32" x14ac:dyDescent="0.25">
      <c r="AE812041" s="36"/>
      <c r="AF812041" s="36"/>
    </row>
    <row r="812137" spans="31:32" x14ac:dyDescent="0.25">
      <c r="AE812137" s="34"/>
      <c r="AF812137" s="34"/>
    </row>
    <row r="812145" spans="31:32" x14ac:dyDescent="0.25">
      <c r="AE812145" s="36"/>
      <c r="AF812145" s="36"/>
    </row>
    <row r="812241" spans="31:32" x14ac:dyDescent="0.25">
      <c r="AE812241" s="34"/>
      <c r="AF812241" s="34"/>
    </row>
    <row r="812249" spans="31:32" x14ac:dyDescent="0.25">
      <c r="AE812249" s="36"/>
      <c r="AF812249" s="36"/>
    </row>
    <row r="812345" spans="31:32" x14ac:dyDescent="0.25">
      <c r="AE812345" s="34"/>
      <c r="AF812345" s="34"/>
    </row>
    <row r="812353" spans="31:32" x14ac:dyDescent="0.25">
      <c r="AE812353" s="36"/>
      <c r="AF812353" s="36"/>
    </row>
    <row r="812449" spans="31:32" x14ac:dyDescent="0.25">
      <c r="AE812449" s="34"/>
      <c r="AF812449" s="34"/>
    </row>
    <row r="812457" spans="31:32" x14ac:dyDescent="0.25">
      <c r="AE812457" s="36"/>
      <c r="AF812457" s="36"/>
    </row>
    <row r="812553" spans="31:32" x14ac:dyDescent="0.25">
      <c r="AE812553" s="34"/>
      <c r="AF812553" s="34"/>
    </row>
    <row r="812561" spans="31:32" x14ac:dyDescent="0.25">
      <c r="AE812561" s="36"/>
      <c r="AF812561" s="36"/>
    </row>
    <row r="812657" spans="31:32" x14ac:dyDescent="0.25">
      <c r="AE812657" s="34"/>
      <c r="AF812657" s="34"/>
    </row>
    <row r="812665" spans="31:32" x14ac:dyDescent="0.25">
      <c r="AE812665" s="36"/>
      <c r="AF812665" s="36"/>
    </row>
    <row r="812761" spans="31:32" x14ac:dyDescent="0.25">
      <c r="AE812761" s="34"/>
      <c r="AF812761" s="34"/>
    </row>
    <row r="812769" spans="31:32" x14ac:dyDescent="0.25">
      <c r="AE812769" s="36"/>
      <c r="AF812769" s="36"/>
    </row>
    <row r="812865" spans="31:32" x14ac:dyDescent="0.25">
      <c r="AE812865" s="34"/>
      <c r="AF812865" s="34"/>
    </row>
    <row r="812873" spans="31:32" x14ac:dyDescent="0.25">
      <c r="AE812873" s="36"/>
      <c r="AF812873" s="36"/>
    </row>
    <row r="812969" spans="31:32" x14ac:dyDescent="0.25">
      <c r="AE812969" s="34"/>
      <c r="AF812969" s="34"/>
    </row>
    <row r="812977" spans="31:32" x14ac:dyDescent="0.25">
      <c r="AE812977" s="36"/>
      <c r="AF812977" s="36"/>
    </row>
    <row r="813073" spans="31:32" x14ac:dyDescent="0.25">
      <c r="AE813073" s="34"/>
      <c r="AF813073" s="34"/>
    </row>
    <row r="813081" spans="31:32" x14ac:dyDescent="0.25">
      <c r="AE813081" s="36"/>
      <c r="AF813081" s="36"/>
    </row>
    <row r="813177" spans="31:32" x14ac:dyDescent="0.25">
      <c r="AE813177" s="34"/>
      <c r="AF813177" s="34"/>
    </row>
    <row r="813185" spans="31:32" x14ac:dyDescent="0.25">
      <c r="AE813185" s="36"/>
      <c r="AF813185" s="36"/>
    </row>
    <row r="813281" spans="31:32" x14ac:dyDescent="0.25">
      <c r="AE813281" s="34"/>
      <c r="AF813281" s="34"/>
    </row>
    <row r="813289" spans="31:32" x14ac:dyDescent="0.25">
      <c r="AE813289" s="36"/>
      <c r="AF813289" s="36"/>
    </row>
    <row r="813385" spans="31:32" x14ac:dyDescent="0.25">
      <c r="AE813385" s="34"/>
      <c r="AF813385" s="34"/>
    </row>
    <row r="813393" spans="31:32" x14ac:dyDescent="0.25">
      <c r="AE813393" s="36"/>
      <c r="AF813393" s="36"/>
    </row>
    <row r="813489" spans="31:32" x14ac:dyDescent="0.25">
      <c r="AE813489" s="34"/>
      <c r="AF813489" s="34"/>
    </row>
    <row r="813497" spans="31:32" x14ac:dyDescent="0.25">
      <c r="AE813497" s="36"/>
      <c r="AF813497" s="36"/>
    </row>
    <row r="813593" spans="31:32" x14ac:dyDescent="0.25">
      <c r="AE813593" s="34"/>
      <c r="AF813593" s="34"/>
    </row>
    <row r="813601" spans="31:32" x14ac:dyDescent="0.25">
      <c r="AE813601" s="36"/>
      <c r="AF813601" s="36"/>
    </row>
    <row r="813697" spans="31:32" x14ac:dyDescent="0.25">
      <c r="AE813697" s="34"/>
      <c r="AF813697" s="34"/>
    </row>
    <row r="813705" spans="31:32" x14ac:dyDescent="0.25">
      <c r="AE813705" s="36"/>
      <c r="AF813705" s="36"/>
    </row>
    <row r="813801" spans="31:32" x14ac:dyDescent="0.25">
      <c r="AE813801" s="34"/>
      <c r="AF813801" s="34"/>
    </row>
    <row r="813809" spans="31:32" x14ac:dyDescent="0.25">
      <c r="AE813809" s="36"/>
      <c r="AF813809" s="36"/>
    </row>
    <row r="813905" spans="31:32" x14ac:dyDescent="0.25">
      <c r="AE813905" s="34"/>
      <c r="AF813905" s="34"/>
    </row>
    <row r="813913" spans="31:32" x14ac:dyDescent="0.25">
      <c r="AE813913" s="36"/>
      <c r="AF813913" s="36"/>
    </row>
    <row r="814009" spans="31:32" x14ac:dyDescent="0.25">
      <c r="AE814009" s="34"/>
      <c r="AF814009" s="34"/>
    </row>
    <row r="814017" spans="31:32" x14ac:dyDescent="0.25">
      <c r="AE814017" s="36"/>
      <c r="AF814017" s="36"/>
    </row>
    <row r="814113" spans="31:32" x14ac:dyDescent="0.25">
      <c r="AE814113" s="34"/>
      <c r="AF814113" s="34"/>
    </row>
    <row r="814121" spans="31:32" x14ac:dyDescent="0.25">
      <c r="AE814121" s="36"/>
      <c r="AF814121" s="36"/>
    </row>
    <row r="814217" spans="31:32" x14ac:dyDescent="0.25">
      <c r="AE814217" s="34"/>
      <c r="AF814217" s="34"/>
    </row>
    <row r="814225" spans="31:32" x14ac:dyDescent="0.25">
      <c r="AE814225" s="36"/>
      <c r="AF814225" s="36"/>
    </row>
    <row r="814321" spans="31:32" x14ac:dyDescent="0.25">
      <c r="AE814321" s="34"/>
      <c r="AF814321" s="34"/>
    </row>
    <row r="814329" spans="31:32" x14ac:dyDescent="0.25">
      <c r="AE814329" s="36"/>
      <c r="AF814329" s="36"/>
    </row>
    <row r="814425" spans="31:32" x14ac:dyDescent="0.25">
      <c r="AE814425" s="34"/>
      <c r="AF814425" s="34"/>
    </row>
    <row r="814433" spans="31:32" x14ac:dyDescent="0.25">
      <c r="AE814433" s="36"/>
      <c r="AF814433" s="36"/>
    </row>
    <row r="814529" spans="31:32" x14ac:dyDescent="0.25">
      <c r="AE814529" s="34"/>
      <c r="AF814529" s="34"/>
    </row>
    <row r="814537" spans="31:32" x14ac:dyDescent="0.25">
      <c r="AE814537" s="36"/>
      <c r="AF814537" s="36"/>
    </row>
    <row r="814633" spans="31:32" x14ac:dyDescent="0.25">
      <c r="AE814633" s="34"/>
      <c r="AF814633" s="34"/>
    </row>
    <row r="814641" spans="31:32" x14ac:dyDescent="0.25">
      <c r="AE814641" s="36"/>
      <c r="AF814641" s="36"/>
    </row>
    <row r="814737" spans="31:32" x14ac:dyDescent="0.25">
      <c r="AE814737" s="34"/>
      <c r="AF814737" s="34"/>
    </row>
    <row r="814745" spans="31:32" x14ac:dyDescent="0.25">
      <c r="AE814745" s="36"/>
      <c r="AF814745" s="36"/>
    </row>
    <row r="814841" spans="31:32" x14ac:dyDescent="0.25">
      <c r="AE814841" s="34"/>
      <c r="AF814841" s="34"/>
    </row>
    <row r="814849" spans="31:32" x14ac:dyDescent="0.25">
      <c r="AE814849" s="36"/>
      <c r="AF814849" s="36"/>
    </row>
    <row r="814945" spans="31:32" x14ac:dyDescent="0.25">
      <c r="AE814945" s="34"/>
      <c r="AF814945" s="34"/>
    </row>
    <row r="814953" spans="31:32" x14ac:dyDescent="0.25">
      <c r="AE814953" s="36"/>
      <c r="AF814953" s="36"/>
    </row>
    <row r="815049" spans="31:32" x14ac:dyDescent="0.25">
      <c r="AE815049" s="34"/>
      <c r="AF815049" s="34"/>
    </row>
    <row r="815057" spans="31:32" x14ac:dyDescent="0.25">
      <c r="AE815057" s="36"/>
      <c r="AF815057" s="36"/>
    </row>
    <row r="815153" spans="31:32" x14ac:dyDescent="0.25">
      <c r="AE815153" s="34"/>
      <c r="AF815153" s="34"/>
    </row>
    <row r="815161" spans="31:32" x14ac:dyDescent="0.25">
      <c r="AE815161" s="36"/>
      <c r="AF815161" s="36"/>
    </row>
    <row r="815257" spans="31:32" x14ac:dyDescent="0.25">
      <c r="AE815257" s="34"/>
      <c r="AF815257" s="34"/>
    </row>
    <row r="815265" spans="31:32" x14ac:dyDescent="0.25">
      <c r="AE815265" s="36"/>
      <c r="AF815265" s="36"/>
    </row>
    <row r="815361" spans="31:32" x14ac:dyDescent="0.25">
      <c r="AE815361" s="34"/>
      <c r="AF815361" s="34"/>
    </row>
    <row r="815369" spans="31:32" x14ac:dyDescent="0.25">
      <c r="AE815369" s="36"/>
      <c r="AF815369" s="36"/>
    </row>
    <row r="815465" spans="31:32" x14ac:dyDescent="0.25">
      <c r="AE815465" s="34"/>
      <c r="AF815465" s="34"/>
    </row>
    <row r="815473" spans="31:32" x14ac:dyDescent="0.25">
      <c r="AE815473" s="36"/>
      <c r="AF815473" s="36"/>
    </row>
    <row r="815569" spans="31:32" x14ac:dyDescent="0.25">
      <c r="AE815569" s="34"/>
      <c r="AF815569" s="34"/>
    </row>
    <row r="815577" spans="31:32" x14ac:dyDescent="0.25">
      <c r="AE815577" s="36"/>
      <c r="AF815577" s="36"/>
    </row>
    <row r="815673" spans="31:32" x14ac:dyDescent="0.25">
      <c r="AE815673" s="34"/>
      <c r="AF815673" s="34"/>
    </row>
    <row r="815681" spans="31:32" x14ac:dyDescent="0.25">
      <c r="AE815681" s="36"/>
      <c r="AF815681" s="36"/>
    </row>
    <row r="815777" spans="31:32" x14ac:dyDescent="0.25">
      <c r="AE815777" s="34"/>
      <c r="AF815777" s="34"/>
    </row>
    <row r="815785" spans="31:32" x14ac:dyDescent="0.25">
      <c r="AE815785" s="36"/>
      <c r="AF815785" s="36"/>
    </row>
    <row r="815881" spans="31:32" x14ac:dyDescent="0.25">
      <c r="AE815881" s="34"/>
      <c r="AF815881" s="34"/>
    </row>
    <row r="815889" spans="31:32" x14ac:dyDescent="0.25">
      <c r="AE815889" s="36"/>
      <c r="AF815889" s="36"/>
    </row>
    <row r="815985" spans="31:32" x14ac:dyDescent="0.25">
      <c r="AE815985" s="34"/>
      <c r="AF815985" s="34"/>
    </row>
    <row r="815993" spans="31:32" x14ac:dyDescent="0.25">
      <c r="AE815993" s="36"/>
      <c r="AF815993" s="36"/>
    </row>
    <row r="816089" spans="31:32" x14ac:dyDescent="0.25">
      <c r="AE816089" s="34"/>
      <c r="AF816089" s="34"/>
    </row>
    <row r="816097" spans="31:32" x14ac:dyDescent="0.25">
      <c r="AE816097" s="36"/>
      <c r="AF816097" s="36"/>
    </row>
    <row r="816193" spans="31:32" x14ac:dyDescent="0.25">
      <c r="AE816193" s="34"/>
      <c r="AF816193" s="34"/>
    </row>
    <row r="816201" spans="31:32" x14ac:dyDescent="0.25">
      <c r="AE816201" s="36"/>
      <c r="AF816201" s="36"/>
    </row>
    <row r="816297" spans="31:32" x14ac:dyDescent="0.25">
      <c r="AE816297" s="34"/>
      <c r="AF816297" s="34"/>
    </row>
    <row r="816305" spans="31:32" x14ac:dyDescent="0.25">
      <c r="AE816305" s="36"/>
      <c r="AF816305" s="36"/>
    </row>
    <row r="816401" spans="31:32" x14ac:dyDescent="0.25">
      <c r="AE816401" s="34"/>
      <c r="AF816401" s="34"/>
    </row>
    <row r="816409" spans="31:32" x14ac:dyDescent="0.25">
      <c r="AE816409" s="36"/>
      <c r="AF816409" s="36"/>
    </row>
    <row r="816505" spans="31:32" x14ac:dyDescent="0.25">
      <c r="AE816505" s="34"/>
      <c r="AF816505" s="34"/>
    </row>
    <row r="816513" spans="31:32" x14ac:dyDescent="0.25">
      <c r="AE816513" s="36"/>
      <c r="AF816513" s="36"/>
    </row>
    <row r="816609" spans="31:32" x14ac:dyDescent="0.25">
      <c r="AE816609" s="34"/>
      <c r="AF816609" s="34"/>
    </row>
    <row r="816617" spans="31:32" x14ac:dyDescent="0.25">
      <c r="AE816617" s="36"/>
      <c r="AF816617" s="36"/>
    </row>
    <row r="816713" spans="31:32" x14ac:dyDescent="0.25">
      <c r="AE816713" s="34"/>
      <c r="AF816713" s="34"/>
    </row>
    <row r="816721" spans="31:32" x14ac:dyDescent="0.25">
      <c r="AE816721" s="36"/>
      <c r="AF816721" s="36"/>
    </row>
    <row r="816817" spans="31:32" x14ac:dyDescent="0.25">
      <c r="AE816817" s="34"/>
      <c r="AF816817" s="34"/>
    </row>
    <row r="816825" spans="31:32" x14ac:dyDescent="0.25">
      <c r="AE816825" s="36"/>
      <c r="AF816825" s="36"/>
    </row>
    <row r="816921" spans="31:32" x14ac:dyDescent="0.25">
      <c r="AE816921" s="34"/>
      <c r="AF816921" s="34"/>
    </row>
    <row r="816929" spans="31:32" x14ac:dyDescent="0.25">
      <c r="AE816929" s="36"/>
      <c r="AF816929" s="36"/>
    </row>
    <row r="817025" spans="31:32" x14ac:dyDescent="0.25">
      <c r="AE817025" s="34"/>
      <c r="AF817025" s="34"/>
    </row>
    <row r="817033" spans="31:32" x14ac:dyDescent="0.25">
      <c r="AE817033" s="36"/>
      <c r="AF817033" s="36"/>
    </row>
    <row r="817129" spans="31:32" x14ac:dyDescent="0.25">
      <c r="AE817129" s="34"/>
      <c r="AF817129" s="34"/>
    </row>
    <row r="817137" spans="31:32" x14ac:dyDescent="0.25">
      <c r="AE817137" s="36"/>
      <c r="AF817137" s="36"/>
    </row>
    <row r="817233" spans="31:32" x14ac:dyDescent="0.25">
      <c r="AE817233" s="34"/>
      <c r="AF817233" s="34"/>
    </row>
    <row r="817241" spans="31:32" x14ac:dyDescent="0.25">
      <c r="AE817241" s="36"/>
      <c r="AF817241" s="36"/>
    </row>
    <row r="817337" spans="31:32" x14ac:dyDescent="0.25">
      <c r="AE817337" s="34"/>
      <c r="AF817337" s="34"/>
    </row>
    <row r="817345" spans="31:32" x14ac:dyDescent="0.25">
      <c r="AE817345" s="36"/>
      <c r="AF817345" s="36"/>
    </row>
    <row r="817441" spans="31:32" x14ac:dyDescent="0.25">
      <c r="AE817441" s="34"/>
      <c r="AF817441" s="34"/>
    </row>
    <row r="817449" spans="31:32" x14ac:dyDescent="0.25">
      <c r="AE817449" s="36"/>
      <c r="AF817449" s="36"/>
    </row>
    <row r="817545" spans="31:32" x14ac:dyDescent="0.25">
      <c r="AE817545" s="34"/>
      <c r="AF817545" s="34"/>
    </row>
    <row r="817553" spans="31:32" x14ac:dyDescent="0.25">
      <c r="AE817553" s="36"/>
      <c r="AF817553" s="36"/>
    </row>
    <row r="817649" spans="31:32" x14ac:dyDescent="0.25">
      <c r="AE817649" s="34"/>
      <c r="AF817649" s="34"/>
    </row>
    <row r="817657" spans="31:32" x14ac:dyDescent="0.25">
      <c r="AE817657" s="36"/>
      <c r="AF817657" s="36"/>
    </row>
    <row r="817753" spans="31:32" x14ac:dyDescent="0.25">
      <c r="AE817753" s="34"/>
      <c r="AF817753" s="34"/>
    </row>
    <row r="817761" spans="31:32" x14ac:dyDescent="0.25">
      <c r="AE817761" s="36"/>
      <c r="AF817761" s="36"/>
    </row>
    <row r="817857" spans="31:32" x14ac:dyDescent="0.25">
      <c r="AE817857" s="34"/>
      <c r="AF817857" s="34"/>
    </row>
    <row r="817865" spans="31:32" x14ac:dyDescent="0.25">
      <c r="AE817865" s="36"/>
      <c r="AF817865" s="36"/>
    </row>
    <row r="817961" spans="31:32" x14ac:dyDescent="0.25">
      <c r="AE817961" s="34"/>
      <c r="AF817961" s="34"/>
    </row>
    <row r="817969" spans="31:32" x14ac:dyDescent="0.25">
      <c r="AE817969" s="36"/>
      <c r="AF817969" s="36"/>
    </row>
    <row r="818065" spans="31:32" x14ac:dyDescent="0.25">
      <c r="AE818065" s="34"/>
      <c r="AF818065" s="34"/>
    </row>
    <row r="818073" spans="31:32" x14ac:dyDescent="0.25">
      <c r="AE818073" s="36"/>
      <c r="AF818073" s="36"/>
    </row>
    <row r="818169" spans="31:32" x14ac:dyDescent="0.25">
      <c r="AE818169" s="34"/>
      <c r="AF818169" s="34"/>
    </row>
    <row r="818177" spans="31:32" x14ac:dyDescent="0.25">
      <c r="AE818177" s="36"/>
      <c r="AF818177" s="36"/>
    </row>
    <row r="818273" spans="31:32" x14ac:dyDescent="0.25">
      <c r="AE818273" s="34"/>
      <c r="AF818273" s="34"/>
    </row>
    <row r="818281" spans="31:32" x14ac:dyDescent="0.25">
      <c r="AE818281" s="36"/>
      <c r="AF818281" s="36"/>
    </row>
    <row r="818377" spans="31:32" x14ac:dyDescent="0.25">
      <c r="AE818377" s="34"/>
      <c r="AF818377" s="34"/>
    </row>
    <row r="818385" spans="31:32" x14ac:dyDescent="0.25">
      <c r="AE818385" s="36"/>
      <c r="AF818385" s="36"/>
    </row>
    <row r="818481" spans="31:32" x14ac:dyDescent="0.25">
      <c r="AE818481" s="34"/>
      <c r="AF818481" s="34"/>
    </row>
    <row r="818489" spans="31:32" x14ac:dyDescent="0.25">
      <c r="AE818489" s="36"/>
      <c r="AF818489" s="36"/>
    </row>
    <row r="818585" spans="31:32" x14ac:dyDescent="0.25">
      <c r="AE818585" s="34"/>
      <c r="AF818585" s="34"/>
    </row>
    <row r="818593" spans="31:32" x14ac:dyDescent="0.25">
      <c r="AE818593" s="36"/>
      <c r="AF818593" s="36"/>
    </row>
    <row r="818689" spans="31:32" x14ac:dyDescent="0.25">
      <c r="AE818689" s="34"/>
      <c r="AF818689" s="34"/>
    </row>
    <row r="818697" spans="31:32" x14ac:dyDescent="0.25">
      <c r="AE818697" s="36"/>
      <c r="AF818697" s="36"/>
    </row>
    <row r="818793" spans="31:32" x14ac:dyDescent="0.25">
      <c r="AE818793" s="34"/>
      <c r="AF818793" s="34"/>
    </row>
    <row r="818801" spans="31:32" x14ac:dyDescent="0.25">
      <c r="AE818801" s="36"/>
      <c r="AF818801" s="36"/>
    </row>
    <row r="818897" spans="31:32" x14ac:dyDescent="0.25">
      <c r="AE818897" s="34"/>
      <c r="AF818897" s="34"/>
    </row>
    <row r="818905" spans="31:32" x14ac:dyDescent="0.25">
      <c r="AE818905" s="36"/>
      <c r="AF818905" s="36"/>
    </row>
    <row r="819001" spans="31:32" x14ac:dyDescent="0.25">
      <c r="AE819001" s="34"/>
      <c r="AF819001" s="34"/>
    </row>
    <row r="819009" spans="31:32" x14ac:dyDescent="0.25">
      <c r="AE819009" s="36"/>
      <c r="AF819009" s="36"/>
    </row>
    <row r="819105" spans="31:32" x14ac:dyDescent="0.25">
      <c r="AE819105" s="34"/>
      <c r="AF819105" s="34"/>
    </row>
    <row r="819113" spans="31:32" x14ac:dyDescent="0.25">
      <c r="AE819113" s="36"/>
      <c r="AF819113" s="36"/>
    </row>
    <row r="819209" spans="31:32" x14ac:dyDescent="0.25">
      <c r="AE819209" s="34"/>
      <c r="AF819209" s="34"/>
    </row>
    <row r="819217" spans="31:32" x14ac:dyDescent="0.25">
      <c r="AE819217" s="36"/>
      <c r="AF819217" s="36"/>
    </row>
    <row r="819313" spans="31:32" x14ac:dyDescent="0.25">
      <c r="AE819313" s="34"/>
      <c r="AF819313" s="34"/>
    </row>
    <row r="819321" spans="31:32" x14ac:dyDescent="0.25">
      <c r="AE819321" s="36"/>
      <c r="AF819321" s="36"/>
    </row>
    <row r="819417" spans="31:32" x14ac:dyDescent="0.25">
      <c r="AE819417" s="34"/>
      <c r="AF819417" s="34"/>
    </row>
    <row r="819425" spans="31:32" x14ac:dyDescent="0.25">
      <c r="AE819425" s="36"/>
      <c r="AF819425" s="36"/>
    </row>
    <row r="819521" spans="31:32" x14ac:dyDescent="0.25">
      <c r="AE819521" s="34"/>
      <c r="AF819521" s="34"/>
    </row>
    <row r="819529" spans="31:32" x14ac:dyDescent="0.25">
      <c r="AE819529" s="36"/>
      <c r="AF819529" s="36"/>
    </row>
    <row r="819625" spans="31:32" x14ac:dyDescent="0.25">
      <c r="AE819625" s="34"/>
      <c r="AF819625" s="34"/>
    </row>
    <row r="819633" spans="31:32" x14ac:dyDescent="0.25">
      <c r="AE819633" s="36"/>
      <c r="AF819633" s="36"/>
    </row>
    <row r="819729" spans="31:32" x14ac:dyDescent="0.25">
      <c r="AE819729" s="34"/>
      <c r="AF819729" s="34"/>
    </row>
    <row r="819737" spans="31:32" x14ac:dyDescent="0.25">
      <c r="AE819737" s="36"/>
      <c r="AF819737" s="36"/>
    </row>
    <row r="819833" spans="31:32" x14ac:dyDescent="0.25">
      <c r="AE819833" s="34"/>
      <c r="AF819833" s="34"/>
    </row>
    <row r="819841" spans="31:32" x14ac:dyDescent="0.25">
      <c r="AE819841" s="36"/>
      <c r="AF819841" s="36"/>
    </row>
    <row r="819937" spans="31:32" x14ac:dyDescent="0.25">
      <c r="AE819937" s="34"/>
      <c r="AF819937" s="34"/>
    </row>
    <row r="819945" spans="31:32" x14ac:dyDescent="0.25">
      <c r="AE819945" s="36"/>
      <c r="AF819945" s="36"/>
    </row>
    <row r="820041" spans="31:32" x14ac:dyDescent="0.25">
      <c r="AE820041" s="34"/>
      <c r="AF820041" s="34"/>
    </row>
    <row r="820049" spans="31:32" x14ac:dyDescent="0.25">
      <c r="AE820049" s="36"/>
      <c r="AF820049" s="36"/>
    </row>
    <row r="820145" spans="31:32" x14ac:dyDescent="0.25">
      <c r="AE820145" s="34"/>
      <c r="AF820145" s="34"/>
    </row>
    <row r="820153" spans="31:32" x14ac:dyDescent="0.25">
      <c r="AE820153" s="36"/>
      <c r="AF820153" s="36"/>
    </row>
    <row r="820249" spans="31:32" x14ac:dyDescent="0.25">
      <c r="AE820249" s="34"/>
      <c r="AF820249" s="34"/>
    </row>
    <row r="820257" spans="31:32" x14ac:dyDescent="0.25">
      <c r="AE820257" s="36"/>
      <c r="AF820257" s="36"/>
    </row>
    <row r="820353" spans="31:32" x14ac:dyDescent="0.25">
      <c r="AE820353" s="34"/>
      <c r="AF820353" s="34"/>
    </row>
    <row r="820361" spans="31:32" x14ac:dyDescent="0.25">
      <c r="AE820361" s="36"/>
      <c r="AF820361" s="36"/>
    </row>
    <row r="820457" spans="31:32" x14ac:dyDescent="0.25">
      <c r="AE820457" s="34"/>
      <c r="AF820457" s="34"/>
    </row>
    <row r="820465" spans="31:32" x14ac:dyDescent="0.25">
      <c r="AE820465" s="36"/>
      <c r="AF820465" s="36"/>
    </row>
    <row r="820561" spans="31:32" x14ac:dyDescent="0.25">
      <c r="AE820561" s="34"/>
      <c r="AF820561" s="34"/>
    </row>
    <row r="820569" spans="31:32" x14ac:dyDescent="0.25">
      <c r="AE820569" s="36"/>
      <c r="AF820569" s="36"/>
    </row>
    <row r="820665" spans="31:32" x14ac:dyDescent="0.25">
      <c r="AE820665" s="34"/>
      <c r="AF820665" s="34"/>
    </row>
    <row r="820673" spans="31:32" x14ac:dyDescent="0.25">
      <c r="AE820673" s="36"/>
      <c r="AF820673" s="36"/>
    </row>
    <row r="820769" spans="31:32" x14ac:dyDescent="0.25">
      <c r="AE820769" s="34"/>
      <c r="AF820769" s="34"/>
    </row>
    <row r="820777" spans="31:32" x14ac:dyDescent="0.25">
      <c r="AE820777" s="36"/>
      <c r="AF820777" s="36"/>
    </row>
    <row r="820873" spans="31:32" x14ac:dyDescent="0.25">
      <c r="AE820873" s="34"/>
      <c r="AF820873" s="34"/>
    </row>
    <row r="820881" spans="31:32" x14ac:dyDescent="0.25">
      <c r="AE820881" s="36"/>
      <c r="AF820881" s="36"/>
    </row>
    <row r="820977" spans="31:32" x14ac:dyDescent="0.25">
      <c r="AE820977" s="34"/>
      <c r="AF820977" s="34"/>
    </row>
    <row r="820985" spans="31:32" x14ac:dyDescent="0.25">
      <c r="AE820985" s="36"/>
      <c r="AF820985" s="36"/>
    </row>
    <row r="821081" spans="31:32" x14ac:dyDescent="0.25">
      <c r="AE821081" s="34"/>
      <c r="AF821081" s="34"/>
    </row>
    <row r="821089" spans="31:32" x14ac:dyDescent="0.25">
      <c r="AE821089" s="36"/>
      <c r="AF821089" s="36"/>
    </row>
    <row r="821185" spans="31:32" x14ac:dyDescent="0.25">
      <c r="AE821185" s="34"/>
      <c r="AF821185" s="34"/>
    </row>
    <row r="821193" spans="31:32" x14ac:dyDescent="0.25">
      <c r="AE821193" s="36"/>
      <c r="AF821193" s="36"/>
    </row>
    <row r="821289" spans="31:32" x14ac:dyDescent="0.25">
      <c r="AE821289" s="34"/>
      <c r="AF821289" s="34"/>
    </row>
    <row r="821297" spans="31:32" x14ac:dyDescent="0.25">
      <c r="AE821297" s="36"/>
      <c r="AF821297" s="36"/>
    </row>
    <row r="821393" spans="31:32" x14ac:dyDescent="0.25">
      <c r="AE821393" s="34"/>
      <c r="AF821393" s="34"/>
    </row>
    <row r="821401" spans="31:32" x14ac:dyDescent="0.25">
      <c r="AE821401" s="36"/>
      <c r="AF821401" s="36"/>
    </row>
    <row r="821497" spans="31:32" x14ac:dyDescent="0.25">
      <c r="AE821497" s="34"/>
      <c r="AF821497" s="34"/>
    </row>
    <row r="821505" spans="31:32" x14ac:dyDescent="0.25">
      <c r="AE821505" s="36"/>
      <c r="AF821505" s="36"/>
    </row>
    <row r="821601" spans="31:32" x14ac:dyDescent="0.25">
      <c r="AE821601" s="34"/>
      <c r="AF821601" s="34"/>
    </row>
    <row r="821609" spans="31:32" x14ac:dyDescent="0.25">
      <c r="AE821609" s="36"/>
      <c r="AF821609" s="36"/>
    </row>
    <row r="821705" spans="31:32" x14ac:dyDescent="0.25">
      <c r="AE821705" s="34"/>
      <c r="AF821705" s="34"/>
    </row>
    <row r="821713" spans="31:32" x14ac:dyDescent="0.25">
      <c r="AE821713" s="36"/>
      <c r="AF821713" s="36"/>
    </row>
    <row r="821809" spans="31:32" x14ac:dyDescent="0.25">
      <c r="AE821809" s="34"/>
      <c r="AF821809" s="34"/>
    </row>
    <row r="821817" spans="31:32" x14ac:dyDescent="0.25">
      <c r="AE821817" s="36"/>
      <c r="AF821817" s="36"/>
    </row>
    <row r="821913" spans="31:32" x14ac:dyDescent="0.25">
      <c r="AE821913" s="34"/>
      <c r="AF821913" s="34"/>
    </row>
    <row r="821921" spans="31:32" x14ac:dyDescent="0.25">
      <c r="AE821921" s="36"/>
      <c r="AF821921" s="36"/>
    </row>
    <row r="822017" spans="31:32" x14ac:dyDescent="0.25">
      <c r="AE822017" s="34"/>
      <c r="AF822017" s="34"/>
    </row>
    <row r="822025" spans="31:32" x14ac:dyDescent="0.25">
      <c r="AE822025" s="36"/>
      <c r="AF822025" s="36"/>
    </row>
    <row r="822121" spans="31:32" x14ac:dyDescent="0.25">
      <c r="AE822121" s="34"/>
      <c r="AF822121" s="34"/>
    </row>
    <row r="822129" spans="31:32" x14ac:dyDescent="0.25">
      <c r="AE822129" s="36"/>
      <c r="AF822129" s="36"/>
    </row>
    <row r="822225" spans="31:32" x14ac:dyDescent="0.25">
      <c r="AE822225" s="34"/>
      <c r="AF822225" s="34"/>
    </row>
    <row r="822233" spans="31:32" x14ac:dyDescent="0.25">
      <c r="AE822233" s="36"/>
      <c r="AF822233" s="36"/>
    </row>
    <row r="822329" spans="31:32" x14ac:dyDescent="0.25">
      <c r="AE822329" s="34"/>
      <c r="AF822329" s="34"/>
    </row>
    <row r="822337" spans="31:32" x14ac:dyDescent="0.25">
      <c r="AE822337" s="36"/>
      <c r="AF822337" s="36"/>
    </row>
    <row r="822433" spans="31:32" x14ac:dyDescent="0.25">
      <c r="AE822433" s="34"/>
      <c r="AF822433" s="34"/>
    </row>
    <row r="822441" spans="31:32" x14ac:dyDescent="0.25">
      <c r="AE822441" s="36"/>
      <c r="AF822441" s="36"/>
    </row>
    <row r="822537" spans="31:32" x14ac:dyDescent="0.25">
      <c r="AE822537" s="34"/>
      <c r="AF822537" s="34"/>
    </row>
    <row r="822545" spans="31:32" x14ac:dyDescent="0.25">
      <c r="AE822545" s="36"/>
      <c r="AF822545" s="36"/>
    </row>
    <row r="822641" spans="31:32" x14ac:dyDescent="0.25">
      <c r="AE822641" s="34"/>
      <c r="AF822641" s="34"/>
    </row>
    <row r="822649" spans="31:32" x14ac:dyDescent="0.25">
      <c r="AE822649" s="36"/>
      <c r="AF822649" s="36"/>
    </row>
    <row r="822745" spans="31:32" x14ac:dyDescent="0.25">
      <c r="AE822745" s="34"/>
      <c r="AF822745" s="34"/>
    </row>
    <row r="822753" spans="31:32" x14ac:dyDescent="0.25">
      <c r="AE822753" s="36"/>
      <c r="AF822753" s="36"/>
    </row>
    <row r="822849" spans="31:32" x14ac:dyDescent="0.25">
      <c r="AE822849" s="34"/>
      <c r="AF822849" s="34"/>
    </row>
    <row r="822857" spans="31:32" x14ac:dyDescent="0.25">
      <c r="AE822857" s="36"/>
      <c r="AF822857" s="36"/>
    </row>
    <row r="822953" spans="31:32" x14ac:dyDescent="0.25">
      <c r="AE822953" s="34"/>
      <c r="AF822953" s="34"/>
    </row>
    <row r="822961" spans="31:32" x14ac:dyDescent="0.25">
      <c r="AE822961" s="36"/>
      <c r="AF822961" s="36"/>
    </row>
    <row r="823057" spans="31:32" x14ac:dyDescent="0.25">
      <c r="AE823057" s="34"/>
      <c r="AF823057" s="34"/>
    </row>
    <row r="823065" spans="31:32" x14ac:dyDescent="0.25">
      <c r="AE823065" s="36"/>
      <c r="AF823065" s="36"/>
    </row>
    <row r="823161" spans="31:32" x14ac:dyDescent="0.25">
      <c r="AE823161" s="34"/>
      <c r="AF823161" s="34"/>
    </row>
    <row r="823169" spans="31:32" x14ac:dyDescent="0.25">
      <c r="AE823169" s="36"/>
      <c r="AF823169" s="36"/>
    </row>
    <row r="823265" spans="31:32" x14ac:dyDescent="0.25">
      <c r="AE823265" s="34"/>
      <c r="AF823265" s="34"/>
    </row>
    <row r="823273" spans="31:32" x14ac:dyDescent="0.25">
      <c r="AE823273" s="36"/>
      <c r="AF823273" s="36"/>
    </row>
    <row r="823369" spans="31:32" x14ac:dyDescent="0.25">
      <c r="AE823369" s="34"/>
      <c r="AF823369" s="34"/>
    </row>
    <row r="823377" spans="31:32" x14ac:dyDescent="0.25">
      <c r="AE823377" s="36"/>
      <c r="AF823377" s="36"/>
    </row>
    <row r="823473" spans="31:32" x14ac:dyDescent="0.25">
      <c r="AE823473" s="34"/>
      <c r="AF823473" s="34"/>
    </row>
    <row r="823481" spans="31:32" x14ac:dyDescent="0.25">
      <c r="AE823481" s="36"/>
      <c r="AF823481" s="36"/>
    </row>
    <row r="823577" spans="31:32" x14ac:dyDescent="0.25">
      <c r="AE823577" s="34"/>
      <c r="AF823577" s="34"/>
    </row>
    <row r="823585" spans="31:32" x14ac:dyDescent="0.25">
      <c r="AE823585" s="36"/>
      <c r="AF823585" s="36"/>
    </row>
    <row r="823681" spans="31:32" x14ac:dyDescent="0.25">
      <c r="AE823681" s="34"/>
      <c r="AF823681" s="34"/>
    </row>
    <row r="823689" spans="31:32" x14ac:dyDescent="0.25">
      <c r="AE823689" s="36"/>
      <c r="AF823689" s="36"/>
    </row>
    <row r="823785" spans="31:32" x14ac:dyDescent="0.25">
      <c r="AE823785" s="34"/>
      <c r="AF823785" s="34"/>
    </row>
    <row r="823793" spans="31:32" x14ac:dyDescent="0.25">
      <c r="AE823793" s="36"/>
      <c r="AF823793" s="36"/>
    </row>
    <row r="823889" spans="31:32" x14ac:dyDescent="0.25">
      <c r="AE823889" s="34"/>
      <c r="AF823889" s="34"/>
    </row>
    <row r="823897" spans="31:32" x14ac:dyDescent="0.25">
      <c r="AE823897" s="36"/>
      <c r="AF823897" s="36"/>
    </row>
    <row r="823993" spans="31:32" x14ac:dyDescent="0.25">
      <c r="AE823993" s="34"/>
      <c r="AF823993" s="34"/>
    </row>
    <row r="824001" spans="31:32" x14ac:dyDescent="0.25">
      <c r="AE824001" s="36"/>
      <c r="AF824001" s="36"/>
    </row>
    <row r="824097" spans="31:32" x14ac:dyDescent="0.25">
      <c r="AE824097" s="34"/>
      <c r="AF824097" s="34"/>
    </row>
    <row r="824105" spans="31:32" x14ac:dyDescent="0.25">
      <c r="AE824105" s="36"/>
      <c r="AF824105" s="36"/>
    </row>
    <row r="824201" spans="31:32" x14ac:dyDescent="0.25">
      <c r="AE824201" s="34"/>
      <c r="AF824201" s="34"/>
    </row>
    <row r="824209" spans="31:32" x14ac:dyDescent="0.25">
      <c r="AE824209" s="36"/>
      <c r="AF824209" s="36"/>
    </row>
    <row r="824305" spans="31:32" x14ac:dyDescent="0.25">
      <c r="AE824305" s="34"/>
      <c r="AF824305" s="34"/>
    </row>
    <row r="824313" spans="31:32" x14ac:dyDescent="0.25">
      <c r="AE824313" s="36"/>
      <c r="AF824313" s="36"/>
    </row>
    <row r="824409" spans="31:32" x14ac:dyDescent="0.25">
      <c r="AE824409" s="34"/>
      <c r="AF824409" s="34"/>
    </row>
    <row r="824417" spans="31:32" x14ac:dyDescent="0.25">
      <c r="AE824417" s="36"/>
      <c r="AF824417" s="36"/>
    </row>
    <row r="824513" spans="31:32" x14ac:dyDescent="0.25">
      <c r="AE824513" s="34"/>
      <c r="AF824513" s="34"/>
    </row>
    <row r="824521" spans="31:32" x14ac:dyDescent="0.25">
      <c r="AE824521" s="36"/>
      <c r="AF824521" s="36"/>
    </row>
    <row r="824617" spans="31:32" x14ac:dyDescent="0.25">
      <c r="AE824617" s="34"/>
      <c r="AF824617" s="34"/>
    </row>
    <row r="824625" spans="31:32" x14ac:dyDescent="0.25">
      <c r="AE824625" s="36"/>
      <c r="AF824625" s="36"/>
    </row>
    <row r="824721" spans="31:32" x14ac:dyDescent="0.25">
      <c r="AE824721" s="34"/>
      <c r="AF824721" s="34"/>
    </row>
    <row r="824729" spans="31:32" x14ac:dyDescent="0.25">
      <c r="AE824729" s="36"/>
      <c r="AF824729" s="36"/>
    </row>
    <row r="824825" spans="31:32" x14ac:dyDescent="0.25">
      <c r="AE824825" s="34"/>
      <c r="AF824825" s="34"/>
    </row>
    <row r="824833" spans="31:32" x14ac:dyDescent="0.25">
      <c r="AE824833" s="36"/>
      <c r="AF824833" s="36"/>
    </row>
    <row r="824929" spans="31:32" x14ac:dyDescent="0.25">
      <c r="AE824929" s="34"/>
      <c r="AF824929" s="34"/>
    </row>
    <row r="824937" spans="31:32" x14ac:dyDescent="0.25">
      <c r="AE824937" s="36"/>
      <c r="AF824937" s="36"/>
    </row>
    <row r="825033" spans="31:32" x14ac:dyDescent="0.25">
      <c r="AE825033" s="34"/>
      <c r="AF825033" s="34"/>
    </row>
    <row r="825041" spans="31:32" x14ac:dyDescent="0.25">
      <c r="AE825041" s="36"/>
      <c r="AF825041" s="36"/>
    </row>
    <row r="825137" spans="31:32" x14ac:dyDescent="0.25">
      <c r="AE825137" s="34"/>
      <c r="AF825137" s="34"/>
    </row>
    <row r="825145" spans="31:32" x14ac:dyDescent="0.25">
      <c r="AE825145" s="36"/>
      <c r="AF825145" s="36"/>
    </row>
    <row r="825241" spans="31:32" x14ac:dyDescent="0.25">
      <c r="AE825241" s="34"/>
      <c r="AF825241" s="34"/>
    </row>
    <row r="825249" spans="31:32" x14ac:dyDescent="0.25">
      <c r="AE825249" s="36"/>
      <c r="AF825249" s="36"/>
    </row>
    <row r="825345" spans="31:32" x14ac:dyDescent="0.25">
      <c r="AE825345" s="34"/>
      <c r="AF825345" s="34"/>
    </row>
    <row r="825353" spans="31:32" x14ac:dyDescent="0.25">
      <c r="AE825353" s="36"/>
      <c r="AF825353" s="36"/>
    </row>
    <row r="825449" spans="31:32" x14ac:dyDescent="0.25">
      <c r="AE825449" s="34"/>
      <c r="AF825449" s="34"/>
    </row>
    <row r="825457" spans="31:32" x14ac:dyDescent="0.25">
      <c r="AE825457" s="36"/>
      <c r="AF825457" s="36"/>
    </row>
    <row r="825553" spans="31:32" x14ac:dyDescent="0.25">
      <c r="AE825553" s="34"/>
      <c r="AF825553" s="34"/>
    </row>
    <row r="825561" spans="31:32" x14ac:dyDescent="0.25">
      <c r="AE825561" s="36"/>
      <c r="AF825561" s="36"/>
    </row>
    <row r="825657" spans="31:32" x14ac:dyDescent="0.25">
      <c r="AE825657" s="34"/>
      <c r="AF825657" s="34"/>
    </row>
    <row r="825665" spans="31:32" x14ac:dyDescent="0.25">
      <c r="AE825665" s="36"/>
      <c r="AF825665" s="36"/>
    </row>
    <row r="825761" spans="31:32" x14ac:dyDescent="0.25">
      <c r="AE825761" s="34"/>
      <c r="AF825761" s="34"/>
    </row>
    <row r="825769" spans="31:32" x14ac:dyDescent="0.25">
      <c r="AE825769" s="36"/>
      <c r="AF825769" s="36"/>
    </row>
    <row r="825865" spans="31:32" x14ac:dyDescent="0.25">
      <c r="AE825865" s="34"/>
      <c r="AF825865" s="34"/>
    </row>
    <row r="825873" spans="31:32" x14ac:dyDescent="0.25">
      <c r="AE825873" s="36"/>
      <c r="AF825873" s="36"/>
    </row>
    <row r="825969" spans="31:32" x14ac:dyDescent="0.25">
      <c r="AE825969" s="34"/>
      <c r="AF825969" s="34"/>
    </row>
    <row r="825977" spans="31:32" x14ac:dyDescent="0.25">
      <c r="AE825977" s="36"/>
      <c r="AF825977" s="36"/>
    </row>
    <row r="826073" spans="31:32" x14ac:dyDescent="0.25">
      <c r="AE826073" s="34"/>
      <c r="AF826073" s="34"/>
    </row>
    <row r="826081" spans="31:32" x14ac:dyDescent="0.25">
      <c r="AE826081" s="36"/>
      <c r="AF826081" s="36"/>
    </row>
    <row r="826177" spans="31:32" x14ac:dyDescent="0.25">
      <c r="AE826177" s="34"/>
      <c r="AF826177" s="34"/>
    </row>
    <row r="826185" spans="31:32" x14ac:dyDescent="0.25">
      <c r="AE826185" s="36"/>
      <c r="AF826185" s="36"/>
    </row>
    <row r="826281" spans="31:32" x14ac:dyDescent="0.25">
      <c r="AE826281" s="34"/>
      <c r="AF826281" s="34"/>
    </row>
    <row r="826289" spans="31:32" x14ac:dyDescent="0.25">
      <c r="AE826289" s="36"/>
      <c r="AF826289" s="36"/>
    </row>
    <row r="826385" spans="31:32" x14ac:dyDescent="0.25">
      <c r="AE826385" s="34"/>
      <c r="AF826385" s="34"/>
    </row>
    <row r="826393" spans="31:32" x14ac:dyDescent="0.25">
      <c r="AE826393" s="36"/>
      <c r="AF826393" s="36"/>
    </row>
    <row r="826489" spans="31:32" x14ac:dyDescent="0.25">
      <c r="AE826489" s="34"/>
      <c r="AF826489" s="34"/>
    </row>
    <row r="826497" spans="31:32" x14ac:dyDescent="0.25">
      <c r="AE826497" s="36"/>
      <c r="AF826497" s="36"/>
    </row>
    <row r="826593" spans="31:32" x14ac:dyDescent="0.25">
      <c r="AE826593" s="34"/>
      <c r="AF826593" s="34"/>
    </row>
    <row r="826601" spans="31:32" x14ac:dyDescent="0.25">
      <c r="AE826601" s="36"/>
      <c r="AF826601" s="36"/>
    </row>
    <row r="826697" spans="31:32" x14ac:dyDescent="0.25">
      <c r="AE826697" s="34"/>
      <c r="AF826697" s="34"/>
    </row>
    <row r="826705" spans="31:32" x14ac:dyDescent="0.25">
      <c r="AE826705" s="36"/>
      <c r="AF826705" s="36"/>
    </row>
    <row r="826801" spans="31:32" x14ac:dyDescent="0.25">
      <c r="AE826801" s="34"/>
      <c r="AF826801" s="34"/>
    </row>
    <row r="826809" spans="31:32" x14ac:dyDescent="0.25">
      <c r="AE826809" s="36"/>
      <c r="AF826809" s="36"/>
    </row>
    <row r="826905" spans="31:32" x14ac:dyDescent="0.25">
      <c r="AE826905" s="34"/>
      <c r="AF826905" s="34"/>
    </row>
    <row r="826913" spans="31:32" x14ac:dyDescent="0.25">
      <c r="AE826913" s="36"/>
      <c r="AF826913" s="36"/>
    </row>
    <row r="827009" spans="31:32" x14ac:dyDescent="0.25">
      <c r="AE827009" s="34"/>
      <c r="AF827009" s="34"/>
    </row>
    <row r="827017" spans="31:32" x14ac:dyDescent="0.25">
      <c r="AE827017" s="36"/>
      <c r="AF827017" s="36"/>
    </row>
    <row r="827113" spans="31:32" x14ac:dyDescent="0.25">
      <c r="AE827113" s="34"/>
      <c r="AF827113" s="34"/>
    </row>
    <row r="827121" spans="31:32" x14ac:dyDescent="0.25">
      <c r="AE827121" s="36"/>
      <c r="AF827121" s="36"/>
    </row>
    <row r="827217" spans="31:32" x14ac:dyDescent="0.25">
      <c r="AE827217" s="34"/>
      <c r="AF827217" s="34"/>
    </row>
    <row r="827225" spans="31:32" x14ac:dyDescent="0.25">
      <c r="AE827225" s="36"/>
      <c r="AF827225" s="36"/>
    </row>
    <row r="827321" spans="31:32" x14ac:dyDescent="0.25">
      <c r="AE827321" s="34"/>
      <c r="AF827321" s="34"/>
    </row>
    <row r="827329" spans="31:32" x14ac:dyDescent="0.25">
      <c r="AE827329" s="36"/>
      <c r="AF827329" s="36"/>
    </row>
    <row r="827425" spans="31:32" x14ac:dyDescent="0.25">
      <c r="AE827425" s="34"/>
      <c r="AF827425" s="34"/>
    </row>
    <row r="827433" spans="31:32" x14ac:dyDescent="0.25">
      <c r="AE827433" s="36"/>
      <c r="AF827433" s="36"/>
    </row>
    <row r="827529" spans="31:32" x14ac:dyDescent="0.25">
      <c r="AE827529" s="34"/>
      <c r="AF827529" s="34"/>
    </row>
    <row r="827537" spans="31:32" x14ac:dyDescent="0.25">
      <c r="AE827537" s="36"/>
      <c r="AF827537" s="36"/>
    </row>
    <row r="827633" spans="31:32" x14ac:dyDescent="0.25">
      <c r="AE827633" s="34"/>
      <c r="AF827633" s="34"/>
    </row>
    <row r="827641" spans="31:32" x14ac:dyDescent="0.25">
      <c r="AE827641" s="36"/>
      <c r="AF827641" s="36"/>
    </row>
    <row r="827737" spans="31:32" x14ac:dyDescent="0.25">
      <c r="AE827737" s="34"/>
      <c r="AF827737" s="34"/>
    </row>
    <row r="827745" spans="31:32" x14ac:dyDescent="0.25">
      <c r="AE827745" s="36"/>
      <c r="AF827745" s="36"/>
    </row>
    <row r="827841" spans="31:32" x14ac:dyDescent="0.25">
      <c r="AE827841" s="34"/>
      <c r="AF827841" s="34"/>
    </row>
    <row r="827849" spans="31:32" x14ac:dyDescent="0.25">
      <c r="AE827849" s="36"/>
      <c r="AF827849" s="36"/>
    </row>
    <row r="827945" spans="31:32" x14ac:dyDescent="0.25">
      <c r="AE827945" s="34"/>
      <c r="AF827945" s="34"/>
    </row>
    <row r="827953" spans="31:32" x14ac:dyDescent="0.25">
      <c r="AE827953" s="36"/>
      <c r="AF827953" s="36"/>
    </row>
    <row r="828049" spans="31:32" x14ac:dyDescent="0.25">
      <c r="AE828049" s="34"/>
      <c r="AF828049" s="34"/>
    </row>
    <row r="828057" spans="31:32" x14ac:dyDescent="0.25">
      <c r="AE828057" s="36"/>
      <c r="AF828057" s="36"/>
    </row>
    <row r="828153" spans="31:32" x14ac:dyDescent="0.25">
      <c r="AE828153" s="34"/>
      <c r="AF828153" s="34"/>
    </row>
    <row r="828161" spans="31:32" x14ac:dyDescent="0.25">
      <c r="AE828161" s="36"/>
      <c r="AF828161" s="36"/>
    </row>
    <row r="828257" spans="31:32" x14ac:dyDescent="0.25">
      <c r="AE828257" s="34"/>
      <c r="AF828257" s="34"/>
    </row>
    <row r="828265" spans="31:32" x14ac:dyDescent="0.25">
      <c r="AE828265" s="36"/>
      <c r="AF828265" s="36"/>
    </row>
    <row r="828361" spans="31:32" x14ac:dyDescent="0.25">
      <c r="AE828361" s="34"/>
      <c r="AF828361" s="34"/>
    </row>
    <row r="828369" spans="31:32" x14ac:dyDescent="0.25">
      <c r="AE828369" s="36"/>
      <c r="AF828369" s="36"/>
    </row>
    <row r="828465" spans="31:32" x14ac:dyDescent="0.25">
      <c r="AE828465" s="34"/>
      <c r="AF828465" s="34"/>
    </row>
    <row r="828473" spans="31:32" x14ac:dyDescent="0.25">
      <c r="AE828473" s="36"/>
      <c r="AF828473" s="36"/>
    </row>
    <row r="828569" spans="31:32" x14ac:dyDescent="0.25">
      <c r="AE828569" s="34"/>
      <c r="AF828569" s="34"/>
    </row>
    <row r="828577" spans="31:32" x14ac:dyDescent="0.25">
      <c r="AE828577" s="36"/>
      <c r="AF828577" s="36"/>
    </row>
    <row r="828673" spans="31:32" x14ac:dyDescent="0.25">
      <c r="AE828673" s="34"/>
      <c r="AF828673" s="34"/>
    </row>
    <row r="828681" spans="31:32" x14ac:dyDescent="0.25">
      <c r="AE828681" s="36"/>
      <c r="AF828681" s="36"/>
    </row>
    <row r="828777" spans="31:32" x14ac:dyDescent="0.25">
      <c r="AE828777" s="34"/>
      <c r="AF828777" s="34"/>
    </row>
    <row r="828785" spans="31:32" x14ac:dyDescent="0.25">
      <c r="AE828785" s="36"/>
      <c r="AF828785" s="36"/>
    </row>
    <row r="828881" spans="31:32" x14ac:dyDescent="0.25">
      <c r="AE828881" s="34"/>
      <c r="AF828881" s="34"/>
    </row>
    <row r="828889" spans="31:32" x14ac:dyDescent="0.25">
      <c r="AE828889" s="36"/>
      <c r="AF828889" s="36"/>
    </row>
    <row r="828985" spans="31:32" x14ac:dyDescent="0.25">
      <c r="AE828985" s="34"/>
      <c r="AF828985" s="34"/>
    </row>
    <row r="828993" spans="31:32" x14ac:dyDescent="0.25">
      <c r="AE828993" s="36"/>
      <c r="AF828993" s="36"/>
    </row>
    <row r="829089" spans="31:32" x14ac:dyDescent="0.25">
      <c r="AE829089" s="34"/>
      <c r="AF829089" s="34"/>
    </row>
    <row r="829097" spans="31:32" x14ac:dyDescent="0.25">
      <c r="AE829097" s="36"/>
      <c r="AF829097" s="36"/>
    </row>
    <row r="829193" spans="31:32" x14ac:dyDescent="0.25">
      <c r="AE829193" s="34"/>
      <c r="AF829193" s="34"/>
    </row>
    <row r="829201" spans="31:32" x14ac:dyDescent="0.25">
      <c r="AE829201" s="36"/>
      <c r="AF829201" s="36"/>
    </row>
    <row r="829297" spans="31:32" x14ac:dyDescent="0.25">
      <c r="AE829297" s="34"/>
      <c r="AF829297" s="34"/>
    </row>
    <row r="829305" spans="31:32" x14ac:dyDescent="0.25">
      <c r="AE829305" s="36"/>
      <c r="AF829305" s="36"/>
    </row>
    <row r="829401" spans="31:32" x14ac:dyDescent="0.25">
      <c r="AE829401" s="34"/>
      <c r="AF829401" s="34"/>
    </row>
    <row r="829409" spans="31:32" x14ac:dyDescent="0.25">
      <c r="AE829409" s="36"/>
      <c r="AF829409" s="36"/>
    </row>
    <row r="829505" spans="31:32" x14ac:dyDescent="0.25">
      <c r="AE829505" s="34"/>
      <c r="AF829505" s="34"/>
    </row>
    <row r="829513" spans="31:32" x14ac:dyDescent="0.25">
      <c r="AE829513" s="36"/>
      <c r="AF829513" s="36"/>
    </row>
    <row r="829609" spans="31:32" x14ac:dyDescent="0.25">
      <c r="AE829609" s="34"/>
      <c r="AF829609" s="34"/>
    </row>
    <row r="829617" spans="31:32" x14ac:dyDescent="0.25">
      <c r="AE829617" s="36"/>
      <c r="AF829617" s="36"/>
    </row>
    <row r="829713" spans="31:32" x14ac:dyDescent="0.25">
      <c r="AE829713" s="34"/>
      <c r="AF829713" s="34"/>
    </row>
    <row r="829721" spans="31:32" x14ac:dyDescent="0.25">
      <c r="AE829721" s="36"/>
      <c r="AF829721" s="36"/>
    </row>
    <row r="829817" spans="31:32" x14ac:dyDescent="0.25">
      <c r="AE829817" s="34"/>
      <c r="AF829817" s="34"/>
    </row>
    <row r="829825" spans="31:32" x14ac:dyDescent="0.25">
      <c r="AE829825" s="36"/>
      <c r="AF829825" s="36"/>
    </row>
    <row r="829921" spans="31:32" x14ac:dyDescent="0.25">
      <c r="AE829921" s="34"/>
      <c r="AF829921" s="34"/>
    </row>
    <row r="829929" spans="31:32" x14ac:dyDescent="0.25">
      <c r="AE829929" s="36"/>
      <c r="AF829929" s="36"/>
    </row>
    <row r="830025" spans="31:32" x14ac:dyDescent="0.25">
      <c r="AE830025" s="34"/>
      <c r="AF830025" s="34"/>
    </row>
    <row r="830033" spans="31:32" x14ac:dyDescent="0.25">
      <c r="AE830033" s="36"/>
      <c r="AF830033" s="36"/>
    </row>
    <row r="830129" spans="31:32" x14ac:dyDescent="0.25">
      <c r="AE830129" s="34"/>
      <c r="AF830129" s="34"/>
    </row>
    <row r="830137" spans="31:32" x14ac:dyDescent="0.25">
      <c r="AE830137" s="36"/>
      <c r="AF830137" s="36"/>
    </row>
    <row r="830233" spans="31:32" x14ac:dyDescent="0.25">
      <c r="AE830233" s="34"/>
      <c r="AF830233" s="34"/>
    </row>
    <row r="830241" spans="31:32" x14ac:dyDescent="0.25">
      <c r="AE830241" s="36"/>
      <c r="AF830241" s="36"/>
    </row>
    <row r="830337" spans="31:32" x14ac:dyDescent="0.25">
      <c r="AE830337" s="34"/>
      <c r="AF830337" s="34"/>
    </row>
    <row r="830345" spans="31:32" x14ac:dyDescent="0.25">
      <c r="AE830345" s="36"/>
      <c r="AF830345" s="36"/>
    </row>
    <row r="830441" spans="31:32" x14ac:dyDescent="0.25">
      <c r="AE830441" s="34"/>
      <c r="AF830441" s="34"/>
    </row>
    <row r="830449" spans="31:32" x14ac:dyDescent="0.25">
      <c r="AE830449" s="36"/>
      <c r="AF830449" s="36"/>
    </row>
    <row r="830545" spans="31:32" x14ac:dyDescent="0.25">
      <c r="AE830545" s="34"/>
      <c r="AF830545" s="34"/>
    </row>
    <row r="830553" spans="31:32" x14ac:dyDescent="0.25">
      <c r="AE830553" s="36"/>
      <c r="AF830553" s="36"/>
    </row>
    <row r="830649" spans="31:32" x14ac:dyDescent="0.25">
      <c r="AE830649" s="34"/>
      <c r="AF830649" s="34"/>
    </row>
    <row r="830657" spans="31:32" x14ac:dyDescent="0.25">
      <c r="AE830657" s="36"/>
      <c r="AF830657" s="36"/>
    </row>
    <row r="830753" spans="31:32" x14ac:dyDescent="0.25">
      <c r="AE830753" s="34"/>
      <c r="AF830753" s="34"/>
    </row>
    <row r="830761" spans="31:32" x14ac:dyDescent="0.25">
      <c r="AE830761" s="36"/>
      <c r="AF830761" s="36"/>
    </row>
    <row r="830857" spans="31:32" x14ac:dyDescent="0.25">
      <c r="AE830857" s="34"/>
      <c r="AF830857" s="34"/>
    </row>
    <row r="830865" spans="31:32" x14ac:dyDescent="0.25">
      <c r="AE830865" s="36"/>
      <c r="AF830865" s="36"/>
    </row>
    <row r="830961" spans="31:32" x14ac:dyDescent="0.25">
      <c r="AE830961" s="34"/>
      <c r="AF830961" s="34"/>
    </row>
    <row r="830969" spans="31:32" x14ac:dyDescent="0.25">
      <c r="AE830969" s="36"/>
      <c r="AF830969" s="36"/>
    </row>
    <row r="831065" spans="31:32" x14ac:dyDescent="0.25">
      <c r="AE831065" s="34"/>
      <c r="AF831065" s="34"/>
    </row>
    <row r="831073" spans="31:32" x14ac:dyDescent="0.25">
      <c r="AE831073" s="36"/>
      <c r="AF831073" s="36"/>
    </row>
    <row r="831169" spans="31:32" x14ac:dyDescent="0.25">
      <c r="AE831169" s="34"/>
      <c r="AF831169" s="34"/>
    </row>
    <row r="831177" spans="31:32" x14ac:dyDescent="0.25">
      <c r="AE831177" s="36"/>
      <c r="AF831177" s="36"/>
    </row>
    <row r="831273" spans="31:32" x14ac:dyDescent="0.25">
      <c r="AE831273" s="34"/>
      <c r="AF831273" s="34"/>
    </row>
    <row r="831281" spans="31:32" x14ac:dyDescent="0.25">
      <c r="AE831281" s="36"/>
      <c r="AF831281" s="36"/>
    </row>
    <row r="831377" spans="31:32" x14ac:dyDescent="0.25">
      <c r="AE831377" s="34"/>
      <c r="AF831377" s="34"/>
    </row>
    <row r="831385" spans="31:32" x14ac:dyDescent="0.25">
      <c r="AE831385" s="36"/>
      <c r="AF831385" s="36"/>
    </row>
    <row r="831481" spans="31:32" x14ac:dyDescent="0.25">
      <c r="AE831481" s="34"/>
      <c r="AF831481" s="34"/>
    </row>
    <row r="831489" spans="31:32" x14ac:dyDescent="0.25">
      <c r="AE831489" s="36"/>
      <c r="AF831489" s="36"/>
    </row>
    <row r="831585" spans="31:32" x14ac:dyDescent="0.25">
      <c r="AE831585" s="34"/>
      <c r="AF831585" s="34"/>
    </row>
    <row r="831593" spans="31:32" x14ac:dyDescent="0.25">
      <c r="AE831593" s="36"/>
      <c r="AF831593" s="36"/>
    </row>
    <row r="831689" spans="31:32" x14ac:dyDescent="0.25">
      <c r="AE831689" s="34"/>
      <c r="AF831689" s="34"/>
    </row>
    <row r="831697" spans="31:32" x14ac:dyDescent="0.25">
      <c r="AE831697" s="36"/>
      <c r="AF831697" s="36"/>
    </row>
    <row r="831793" spans="31:32" x14ac:dyDescent="0.25">
      <c r="AE831793" s="34"/>
      <c r="AF831793" s="34"/>
    </row>
    <row r="831801" spans="31:32" x14ac:dyDescent="0.25">
      <c r="AE831801" s="36"/>
      <c r="AF831801" s="36"/>
    </row>
    <row r="831897" spans="31:32" x14ac:dyDescent="0.25">
      <c r="AE831897" s="34"/>
      <c r="AF831897" s="34"/>
    </row>
    <row r="831905" spans="31:32" x14ac:dyDescent="0.25">
      <c r="AE831905" s="36"/>
      <c r="AF831905" s="36"/>
    </row>
    <row r="832001" spans="31:32" x14ac:dyDescent="0.25">
      <c r="AE832001" s="34"/>
      <c r="AF832001" s="34"/>
    </row>
    <row r="832009" spans="31:32" x14ac:dyDescent="0.25">
      <c r="AE832009" s="36"/>
      <c r="AF832009" s="36"/>
    </row>
    <row r="832105" spans="31:32" x14ac:dyDescent="0.25">
      <c r="AE832105" s="34"/>
      <c r="AF832105" s="34"/>
    </row>
    <row r="832113" spans="31:32" x14ac:dyDescent="0.25">
      <c r="AE832113" s="36"/>
      <c r="AF832113" s="36"/>
    </row>
    <row r="832209" spans="31:32" x14ac:dyDescent="0.25">
      <c r="AE832209" s="34"/>
      <c r="AF832209" s="34"/>
    </row>
    <row r="832217" spans="31:32" x14ac:dyDescent="0.25">
      <c r="AE832217" s="36"/>
      <c r="AF832217" s="36"/>
    </row>
    <row r="832313" spans="31:32" x14ac:dyDescent="0.25">
      <c r="AE832313" s="34"/>
      <c r="AF832313" s="34"/>
    </row>
    <row r="832321" spans="31:32" x14ac:dyDescent="0.25">
      <c r="AE832321" s="36"/>
      <c r="AF832321" s="36"/>
    </row>
    <row r="832417" spans="31:32" x14ac:dyDescent="0.25">
      <c r="AE832417" s="34"/>
      <c r="AF832417" s="34"/>
    </row>
    <row r="832425" spans="31:32" x14ac:dyDescent="0.25">
      <c r="AE832425" s="36"/>
      <c r="AF832425" s="36"/>
    </row>
    <row r="832521" spans="31:32" x14ac:dyDescent="0.25">
      <c r="AE832521" s="34"/>
      <c r="AF832521" s="34"/>
    </row>
    <row r="832529" spans="31:32" x14ac:dyDescent="0.25">
      <c r="AE832529" s="36"/>
      <c r="AF832529" s="36"/>
    </row>
    <row r="832625" spans="31:32" x14ac:dyDescent="0.25">
      <c r="AE832625" s="34"/>
      <c r="AF832625" s="34"/>
    </row>
    <row r="832633" spans="31:32" x14ac:dyDescent="0.25">
      <c r="AE832633" s="36"/>
      <c r="AF832633" s="36"/>
    </row>
    <row r="832729" spans="31:32" x14ac:dyDescent="0.25">
      <c r="AE832729" s="34"/>
      <c r="AF832729" s="34"/>
    </row>
    <row r="832737" spans="31:32" x14ac:dyDescent="0.25">
      <c r="AE832737" s="36"/>
      <c r="AF832737" s="36"/>
    </row>
    <row r="832833" spans="31:32" x14ac:dyDescent="0.25">
      <c r="AE832833" s="34"/>
      <c r="AF832833" s="34"/>
    </row>
    <row r="832841" spans="31:32" x14ac:dyDescent="0.25">
      <c r="AE832841" s="36"/>
      <c r="AF832841" s="36"/>
    </row>
    <row r="832937" spans="31:32" x14ac:dyDescent="0.25">
      <c r="AE832937" s="34"/>
      <c r="AF832937" s="34"/>
    </row>
    <row r="832945" spans="31:32" x14ac:dyDescent="0.25">
      <c r="AE832945" s="36"/>
      <c r="AF832945" s="36"/>
    </row>
    <row r="833041" spans="31:32" x14ac:dyDescent="0.25">
      <c r="AE833041" s="34"/>
      <c r="AF833041" s="34"/>
    </row>
    <row r="833049" spans="31:32" x14ac:dyDescent="0.25">
      <c r="AE833049" s="36"/>
      <c r="AF833049" s="36"/>
    </row>
    <row r="833145" spans="31:32" x14ac:dyDescent="0.25">
      <c r="AE833145" s="34"/>
      <c r="AF833145" s="34"/>
    </row>
    <row r="833153" spans="31:32" x14ac:dyDescent="0.25">
      <c r="AE833153" s="36"/>
      <c r="AF833153" s="36"/>
    </row>
    <row r="833249" spans="31:32" x14ac:dyDescent="0.25">
      <c r="AE833249" s="34"/>
      <c r="AF833249" s="34"/>
    </row>
    <row r="833257" spans="31:32" x14ac:dyDescent="0.25">
      <c r="AE833257" s="36"/>
      <c r="AF833257" s="36"/>
    </row>
    <row r="833353" spans="31:32" x14ac:dyDescent="0.25">
      <c r="AE833353" s="34"/>
      <c r="AF833353" s="34"/>
    </row>
    <row r="833361" spans="31:32" x14ac:dyDescent="0.25">
      <c r="AE833361" s="36"/>
      <c r="AF833361" s="36"/>
    </row>
    <row r="833457" spans="31:32" x14ac:dyDescent="0.25">
      <c r="AE833457" s="34"/>
      <c r="AF833457" s="34"/>
    </row>
    <row r="833465" spans="31:32" x14ac:dyDescent="0.25">
      <c r="AE833465" s="36"/>
      <c r="AF833465" s="36"/>
    </row>
    <row r="833561" spans="31:32" x14ac:dyDescent="0.25">
      <c r="AE833561" s="34"/>
      <c r="AF833561" s="34"/>
    </row>
    <row r="833569" spans="31:32" x14ac:dyDescent="0.25">
      <c r="AE833569" s="36"/>
      <c r="AF833569" s="36"/>
    </row>
    <row r="833665" spans="31:32" x14ac:dyDescent="0.25">
      <c r="AE833665" s="34"/>
      <c r="AF833665" s="34"/>
    </row>
    <row r="833673" spans="31:32" x14ac:dyDescent="0.25">
      <c r="AE833673" s="36"/>
      <c r="AF833673" s="36"/>
    </row>
    <row r="833769" spans="31:32" x14ac:dyDescent="0.25">
      <c r="AE833769" s="34"/>
      <c r="AF833769" s="34"/>
    </row>
    <row r="833777" spans="31:32" x14ac:dyDescent="0.25">
      <c r="AE833777" s="36"/>
      <c r="AF833777" s="36"/>
    </row>
    <row r="833873" spans="31:32" x14ac:dyDescent="0.25">
      <c r="AE833873" s="34"/>
      <c r="AF833873" s="34"/>
    </row>
    <row r="833881" spans="31:32" x14ac:dyDescent="0.25">
      <c r="AE833881" s="36"/>
      <c r="AF833881" s="36"/>
    </row>
    <row r="833977" spans="31:32" x14ac:dyDescent="0.25">
      <c r="AE833977" s="34"/>
      <c r="AF833977" s="34"/>
    </row>
    <row r="833985" spans="31:32" x14ac:dyDescent="0.25">
      <c r="AE833985" s="36"/>
      <c r="AF833985" s="36"/>
    </row>
    <row r="834081" spans="31:32" x14ac:dyDescent="0.25">
      <c r="AE834081" s="34"/>
      <c r="AF834081" s="34"/>
    </row>
    <row r="834089" spans="31:32" x14ac:dyDescent="0.25">
      <c r="AE834089" s="36"/>
      <c r="AF834089" s="36"/>
    </row>
    <row r="834185" spans="31:32" x14ac:dyDescent="0.25">
      <c r="AE834185" s="34"/>
      <c r="AF834185" s="34"/>
    </row>
    <row r="834193" spans="31:32" x14ac:dyDescent="0.25">
      <c r="AE834193" s="36"/>
      <c r="AF834193" s="36"/>
    </row>
    <row r="834289" spans="31:32" x14ac:dyDescent="0.25">
      <c r="AE834289" s="34"/>
      <c r="AF834289" s="34"/>
    </row>
    <row r="834297" spans="31:32" x14ac:dyDescent="0.25">
      <c r="AE834297" s="36"/>
      <c r="AF834297" s="36"/>
    </row>
    <row r="834393" spans="31:32" x14ac:dyDescent="0.25">
      <c r="AE834393" s="34"/>
      <c r="AF834393" s="34"/>
    </row>
    <row r="834401" spans="31:32" x14ac:dyDescent="0.25">
      <c r="AE834401" s="36"/>
      <c r="AF834401" s="36"/>
    </row>
    <row r="834497" spans="31:32" x14ac:dyDescent="0.25">
      <c r="AE834497" s="34"/>
      <c r="AF834497" s="34"/>
    </row>
    <row r="834505" spans="31:32" x14ac:dyDescent="0.25">
      <c r="AE834505" s="36"/>
      <c r="AF834505" s="36"/>
    </row>
    <row r="834601" spans="31:32" x14ac:dyDescent="0.25">
      <c r="AE834601" s="34"/>
      <c r="AF834601" s="34"/>
    </row>
    <row r="834609" spans="31:32" x14ac:dyDescent="0.25">
      <c r="AE834609" s="36"/>
      <c r="AF834609" s="36"/>
    </row>
    <row r="834705" spans="31:32" x14ac:dyDescent="0.25">
      <c r="AE834705" s="34"/>
      <c r="AF834705" s="34"/>
    </row>
    <row r="834713" spans="31:32" x14ac:dyDescent="0.25">
      <c r="AE834713" s="36"/>
      <c r="AF834713" s="36"/>
    </row>
    <row r="834809" spans="31:32" x14ac:dyDescent="0.25">
      <c r="AE834809" s="34"/>
      <c r="AF834809" s="34"/>
    </row>
    <row r="834817" spans="31:32" x14ac:dyDescent="0.25">
      <c r="AE834817" s="36"/>
      <c r="AF834817" s="36"/>
    </row>
    <row r="834913" spans="31:32" x14ac:dyDescent="0.25">
      <c r="AE834913" s="34"/>
      <c r="AF834913" s="34"/>
    </row>
    <row r="834921" spans="31:32" x14ac:dyDescent="0.25">
      <c r="AE834921" s="36"/>
      <c r="AF834921" s="36"/>
    </row>
    <row r="835017" spans="31:32" x14ac:dyDescent="0.25">
      <c r="AE835017" s="34"/>
      <c r="AF835017" s="34"/>
    </row>
    <row r="835025" spans="31:32" x14ac:dyDescent="0.25">
      <c r="AE835025" s="36"/>
      <c r="AF835025" s="36"/>
    </row>
    <row r="835121" spans="31:32" x14ac:dyDescent="0.25">
      <c r="AE835121" s="34"/>
      <c r="AF835121" s="34"/>
    </row>
    <row r="835129" spans="31:32" x14ac:dyDescent="0.25">
      <c r="AE835129" s="36"/>
      <c r="AF835129" s="36"/>
    </row>
    <row r="835225" spans="31:32" x14ac:dyDescent="0.25">
      <c r="AE835225" s="34"/>
      <c r="AF835225" s="34"/>
    </row>
    <row r="835233" spans="31:32" x14ac:dyDescent="0.25">
      <c r="AE835233" s="36"/>
      <c r="AF835233" s="36"/>
    </row>
    <row r="835329" spans="31:32" x14ac:dyDescent="0.25">
      <c r="AE835329" s="34"/>
      <c r="AF835329" s="34"/>
    </row>
    <row r="835337" spans="31:32" x14ac:dyDescent="0.25">
      <c r="AE835337" s="36"/>
      <c r="AF835337" s="36"/>
    </row>
    <row r="835433" spans="31:32" x14ac:dyDescent="0.25">
      <c r="AE835433" s="34"/>
      <c r="AF835433" s="34"/>
    </row>
    <row r="835441" spans="31:32" x14ac:dyDescent="0.25">
      <c r="AE835441" s="36"/>
      <c r="AF835441" s="36"/>
    </row>
    <row r="835537" spans="31:32" x14ac:dyDescent="0.25">
      <c r="AE835537" s="34"/>
      <c r="AF835537" s="34"/>
    </row>
    <row r="835545" spans="31:32" x14ac:dyDescent="0.25">
      <c r="AE835545" s="36"/>
      <c r="AF835545" s="36"/>
    </row>
    <row r="835641" spans="31:32" x14ac:dyDescent="0.25">
      <c r="AE835641" s="34"/>
      <c r="AF835641" s="34"/>
    </row>
    <row r="835649" spans="31:32" x14ac:dyDescent="0.25">
      <c r="AE835649" s="36"/>
      <c r="AF835649" s="36"/>
    </row>
    <row r="835745" spans="31:32" x14ac:dyDescent="0.25">
      <c r="AE835745" s="34"/>
      <c r="AF835745" s="34"/>
    </row>
    <row r="835753" spans="31:32" x14ac:dyDescent="0.25">
      <c r="AE835753" s="36"/>
      <c r="AF835753" s="36"/>
    </row>
    <row r="835849" spans="31:32" x14ac:dyDescent="0.25">
      <c r="AE835849" s="34"/>
      <c r="AF835849" s="34"/>
    </row>
    <row r="835857" spans="31:32" x14ac:dyDescent="0.25">
      <c r="AE835857" s="36"/>
      <c r="AF835857" s="36"/>
    </row>
    <row r="835953" spans="31:32" x14ac:dyDescent="0.25">
      <c r="AE835953" s="34"/>
      <c r="AF835953" s="34"/>
    </row>
    <row r="835961" spans="31:32" x14ac:dyDescent="0.25">
      <c r="AE835961" s="36"/>
      <c r="AF835961" s="36"/>
    </row>
    <row r="836057" spans="31:32" x14ac:dyDescent="0.25">
      <c r="AE836057" s="34"/>
      <c r="AF836057" s="34"/>
    </row>
    <row r="836065" spans="31:32" x14ac:dyDescent="0.25">
      <c r="AE836065" s="36"/>
      <c r="AF836065" s="36"/>
    </row>
    <row r="836161" spans="31:32" x14ac:dyDescent="0.25">
      <c r="AE836161" s="34"/>
      <c r="AF836161" s="34"/>
    </row>
    <row r="836169" spans="31:32" x14ac:dyDescent="0.25">
      <c r="AE836169" s="36"/>
      <c r="AF836169" s="36"/>
    </row>
    <row r="836265" spans="31:32" x14ac:dyDescent="0.25">
      <c r="AE836265" s="34"/>
      <c r="AF836265" s="34"/>
    </row>
    <row r="836273" spans="31:32" x14ac:dyDescent="0.25">
      <c r="AE836273" s="36"/>
      <c r="AF836273" s="36"/>
    </row>
    <row r="836369" spans="31:32" x14ac:dyDescent="0.25">
      <c r="AE836369" s="34"/>
      <c r="AF836369" s="34"/>
    </row>
    <row r="836377" spans="31:32" x14ac:dyDescent="0.25">
      <c r="AE836377" s="36"/>
      <c r="AF836377" s="36"/>
    </row>
    <row r="836473" spans="31:32" x14ac:dyDescent="0.25">
      <c r="AE836473" s="34"/>
      <c r="AF836473" s="34"/>
    </row>
    <row r="836481" spans="31:32" x14ac:dyDescent="0.25">
      <c r="AE836481" s="36"/>
      <c r="AF836481" s="36"/>
    </row>
    <row r="836577" spans="31:32" x14ac:dyDescent="0.25">
      <c r="AE836577" s="34"/>
      <c r="AF836577" s="34"/>
    </row>
    <row r="836585" spans="31:32" x14ac:dyDescent="0.25">
      <c r="AE836585" s="36"/>
      <c r="AF836585" s="36"/>
    </row>
    <row r="836681" spans="31:32" x14ac:dyDescent="0.25">
      <c r="AE836681" s="34"/>
      <c r="AF836681" s="34"/>
    </row>
    <row r="836689" spans="31:32" x14ac:dyDescent="0.25">
      <c r="AE836689" s="36"/>
      <c r="AF836689" s="36"/>
    </row>
    <row r="836785" spans="31:32" x14ac:dyDescent="0.25">
      <c r="AE836785" s="34"/>
      <c r="AF836785" s="34"/>
    </row>
    <row r="836793" spans="31:32" x14ac:dyDescent="0.25">
      <c r="AE836793" s="36"/>
      <c r="AF836793" s="36"/>
    </row>
    <row r="836889" spans="31:32" x14ac:dyDescent="0.25">
      <c r="AE836889" s="34"/>
      <c r="AF836889" s="34"/>
    </row>
    <row r="836897" spans="31:32" x14ac:dyDescent="0.25">
      <c r="AE836897" s="36"/>
      <c r="AF836897" s="36"/>
    </row>
    <row r="836993" spans="31:32" x14ac:dyDescent="0.25">
      <c r="AE836993" s="34"/>
      <c r="AF836993" s="34"/>
    </row>
    <row r="837001" spans="31:32" x14ac:dyDescent="0.25">
      <c r="AE837001" s="36"/>
      <c r="AF837001" s="36"/>
    </row>
    <row r="837097" spans="31:32" x14ac:dyDescent="0.25">
      <c r="AE837097" s="34"/>
      <c r="AF837097" s="34"/>
    </row>
    <row r="837105" spans="31:32" x14ac:dyDescent="0.25">
      <c r="AE837105" s="36"/>
      <c r="AF837105" s="36"/>
    </row>
    <row r="837201" spans="31:32" x14ac:dyDescent="0.25">
      <c r="AE837201" s="34"/>
      <c r="AF837201" s="34"/>
    </row>
    <row r="837209" spans="31:32" x14ac:dyDescent="0.25">
      <c r="AE837209" s="36"/>
      <c r="AF837209" s="36"/>
    </row>
    <row r="837305" spans="31:32" x14ac:dyDescent="0.25">
      <c r="AE837305" s="34"/>
      <c r="AF837305" s="34"/>
    </row>
    <row r="837313" spans="31:32" x14ac:dyDescent="0.25">
      <c r="AE837313" s="36"/>
      <c r="AF837313" s="36"/>
    </row>
    <row r="837409" spans="31:32" x14ac:dyDescent="0.25">
      <c r="AE837409" s="34"/>
      <c r="AF837409" s="34"/>
    </row>
    <row r="837417" spans="31:32" x14ac:dyDescent="0.25">
      <c r="AE837417" s="36"/>
      <c r="AF837417" s="36"/>
    </row>
    <row r="837513" spans="31:32" x14ac:dyDescent="0.25">
      <c r="AE837513" s="34"/>
      <c r="AF837513" s="34"/>
    </row>
    <row r="837521" spans="31:32" x14ac:dyDescent="0.25">
      <c r="AE837521" s="36"/>
      <c r="AF837521" s="36"/>
    </row>
    <row r="837617" spans="31:32" x14ac:dyDescent="0.25">
      <c r="AE837617" s="34"/>
      <c r="AF837617" s="34"/>
    </row>
    <row r="837625" spans="31:32" x14ac:dyDescent="0.25">
      <c r="AE837625" s="36"/>
      <c r="AF837625" s="36"/>
    </row>
    <row r="837721" spans="31:32" x14ac:dyDescent="0.25">
      <c r="AE837721" s="34"/>
      <c r="AF837721" s="34"/>
    </row>
    <row r="837729" spans="31:32" x14ac:dyDescent="0.25">
      <c r="AE837729" s="36"/>
      <c r="AF837729" s="36"/>
    </row>
    <row r="837825" spans="31:32" x14ac:dyDescent="0.25">
      <c r="AE837825" s="34"/>
      <c r="AF837825" s="34"/>
    </row>
    <row r="837833" spans="31:32" x14ac:dyDescent="0.25">
      <c r="AE837833" s="36"/>
      <c r="AF837833" s="36"/>
    </row>
    <row r="837929" spans="31:32" x14ac:dyDescent="0.25">
      <c r="AE837929" s="34"/>
      <c r="AF837929" s="34"/>
    </row>
    <row r="837937" spans="31:32" x14ac:dyDescent="0.25">
      <c r="AE837937" s="36"/>
      <c r="AF837937" s="36"/>
    </row>
    <row r="838033" spans="31:32" x14ac:dyDescent="0.25">
      <c r="AE838033" s="34"/>
      <c r="AF838033" s="34"/>
    </row>
    <row r="838041" spans="31:32" x14ac:dyDescent="0.25">
      <c r="AE838041" s="36"/>
      <c r="AF838041" s="36"/>
    </row>
    <row r="838137" spans="31:32" x14ac:dyDescent="0.25">
      <c r="AE838137" s="34"/>
      <c r="AF838137" s="34"/>
    </row>
    <row r="838145" spans="31:32" x14ac:dyDescent="0.25">
      <c r="AE838145" s="36"/>
      <c r="AF838145" s="36"/>
    </row>
    <row r="838241" spans="31:32" x14ac:dyDescent="0.25">
      <c r="AE838241" s="34"/>
      <c r="AF838241" s="34"/>
    </row>
    <row r="838249" spans="31:32" x14ac:dyDescent="0.25">
      <c r="AE838249" s="36"/>
      <c r="AF838249" s="36"/>
    </row>
    <row r="838345" spans="31:32" x14ac:dyDescent="0.25">
      <c r="AE838345" s="34"/>
      <c r="AF838345" s="34"/>
    </row>
    <row r="838353" spans="31:32" x14ac:dyDescent="0.25">
      <c r="AE838353" s="36"/>
      <c r="AF838353" s="36"/>
    </row>
    <row r="838449" spans="31:32" x14ac:dyDescent="0.25">
      <c r="AE838449" s="34"/>
      <c r="AF838449" s="34"/>
    </row>
    <row r="838457" spans="31:32" x14ac:dyDescent="0.25">
      <c r="AE838457" s="36"/>
      <c r="AF838457" s="36"/>
    </row>
    <row r="838553" spans="31:32" x14ac:dyDescent="0.25">
      <c r="AE838553" s="34"/>
      <c r="AF838553" s="34"/>
    </row>
    <row r="838561" spans="31:32" x14ac:dyDescent="0.25">
      <c r="AE838561" s="36"/>
      <c r="AF838561" s="36"/>
    </row>
    <row r="838657" spans="31:32" x14ac:dyDescent="0.25">
      <c r="AE838657" s="34"/>
      <c r="AF838657" s="34"/>
    </row>
    <row r="838665" spans="31:32" x14ac:dyDescent="0.25">
      <c r="AE838665" s="36"/>
      <c r="AF838665" s="36"/>
    </row>
    <row r="838761" spans="31:32" x14ac:dyDescent="0.25">
      <c r="AE838761" s="34"/>
      <c r="AF838761" s="34"/>
    </row>
    <row r="838769" spans="31:32" x14ac:dyDescent="0.25">
      <c r="AE838769" s="36"/>
      <c r="AF838769" s="36"/>
    </row>
    <row r="838865" spans="31:32" x14ac:dyDescent="0.25">
      <c r="AE838865" s="34"/>
      <c r="AF838865" s="34"/>
    </row>
    <row r="838873" spans="31:32" x14ac:dyDescent="0.25">
      <c r="AE838873" s="36"/>
      <c r="AF838873" s="36"/>
    </row>
    <row r="838969" spans="31:32" x14ac:dyDescent="0.25">
      <c r="AE838969" s="34"/>
      <c r="AF838969" s="34"/>
    </row>
    <row r="838977" spans="31:32" x14ac:dyDescent="0.25">
      <c r="AE838977" s="36"/>
      <c r="AF838977" s="36"/>
    </row>
    <row r="839073" spans="31:32" x14ac:dyDescent="0.25">
      <c r="AE839073" s="34"/>
      <c r="AF839073" s="34"/>
    </row>
    <row r="839081" spans="31:32" x14ac:dyDescent="0.25">
      <c r="AE839081" s="36"/>
      <c r="AF839081" s="36"/>
    </row>
    <row r="839177" spans="31:32" x14ac:dyDescent="0.25">
      <c r="AE839177" s="34"/>
      <c r="AF839177" s="34"/>
    </row>
    <row r="839185" spans="31:32" x14ac:dyDescent="0.25">
      <c r="AE839185" s="36"/>
      <c r="AF839185" s="36"/>
    </row>
    <row r="839281" spans="31:32" x14ac:dyDescent="0.25">
      <c r="AE839281" s="34"/>
      <c r="AF839281" s="34"/>
    </row>
    <row r="839289" spans="31:32" x14ac:dyDescent="0.25">
      <c r="AE839289" s="36"/>
      <c r="AF839289" s="36"/>
    </row>
    <row r="839385" spans="31:32" x14ac:dyDescent="0.25">
      <c r="AE839385" s="34"/>
      <c r="AF839385" s="34"/>
    </row>
    <row r="839393" spans="31:32" x14ac:dyDescent="0.25">
      <c r="AE839393" s="36"/>
      <c r="AF839393" s="36"/>
    </row>
    <row r="839489" spans="31:32" x14ac:dyDescent="0.25">
      <c r="AE839489" s="34"/>
      <c r="AF839489" s="34"/>
    </row>
    <row r="839497" spans="31:32" x14ac:dyDescent="0.25">
      <c r="AE839497" s="36"/>
      <c r="AF839497" s="36"/>
    </row>
    <row r="839593" spans="31:32" x14ac:dyDescent="0.25">
      <c r="AE839593" s="34"/>
      <c r="AF839593" s="34"/>
    </row>
    <row r="839601" spans="31:32" x14ac:dyDescent="0.25">
      <c r="AE839601" s="36"/>
      <c r="AF839601" s="36"/>
    </row>
    <row r="839697" spans="31:32" x14ac:dyDescent="0.25">
      <c r="AE839697" s="34"/>
      <c r="AF839697" s="34"/>
    </row>
    <row r="839705" spans="31:32" x14ac:dyDescent="0.25">
      <c r="AE839705" s="36"/>
      <c r="AF839705" s="36"/>
    </row>
    <row r="839801" spans="31:32" x14ac:dyDescent="0.25">
      <c r="AE839801" s="34"/>
      <c r="AF839801" s="34"/>
    </row>
    <row r="839809" spans="31:32" x14ac:dyDescent="0.25">
      <c r="AE839809" s="36"/>
      <c r="AF839809" s="36"/>
    </row>
    <row r="839905" spans="31:32" x14ac:dyDescent="0.25">
      <c r="AE839905" s="34"/>
      <c r="AF839905" s="34"/>
    </row>
    <row r="839913" spans="31:32" x14ac:dyDescent="0.25">
      <c r="AE839913" s="36"/>
      <c r="AF839913" s="36"/>
    </row>
    <row r="840009" spans="31:32" x14ac:dyDescent="0.25">
      <c r="AE840009" s="34"/>
      <c r="AF840009" s="34"/>
    </row>
    <row r="840017" spans="31:32" x14ac:dyDescent="0.25">
      <c r="AE840017" s="36"/>
      <c r="AF840017" s="36"/>
    </row>
    <row r="840113" spans="31:32" x14ac:dyDescent="0.25">
      <c r="AE840113" s="34"/>
      <c r="AF840113" s="34"/>
    </row>
    <row r="840121" spans="31:32" x14ac:dyDescent="0.25">
      <c r="AE840121" s="36"/>
      <c r="AF840121" s="36"/>
    </row>
    <row r="840217" spans="31:32" x14ac:dyDescent="0.25">
      <c r="AE840217" s="34"/>
      <c r="AF840217" s="34"/>
    </row>
    <row r="840225" spans="31:32" x14ac:dyDescent="0.25">
      <c r="AE840225" s="36"/>
      <c r="AF840225" s="36"/>
    </row>
    <row r="840321" spans="31:32" x14ac:dyDescent="0.25">
      <c r="AE840321" s="34"/>
      <c r="AF840321" s="34"/>
    </row>
    <row r="840329" spans="31:32" x14ac:dyDescent="0.25">
      <c r="AE840329" s="36"/>
      <c r="AF840329" s="36"/>
    </row>
    <row r="840425" spans="31:32" x14ac:dyDescent="0.25">
      <c r="AE840425" s="34"/>
      <c r="AF840425" s="34"/>
    </row>
    <row r="840433" spans="31:32" x14ac:dyDescent="0.25">
      <c r="AE840433" s="36"/>
      <c r="AF840433" s="36"/>
    </row>
    <row r="840529" spans="31:32" x14ac:dyDescent="0.25">
      <c r="AE840529" s="34"/>
      <c r="AF840529" s="34"/>
    </row>
    <row r="840537" spans="31:32" x14ac:dyDescent="0.25">
      <c r="AE840537" s="36"/>
      <c r="AF840537" s="36"/>
    </row>
    <row r="840633" spans="31:32" x14ac:dyDescent="0.25">
      <c r="AE840633" s="34"/>
      <c r="AF840633" s="34"/>
    </row>
    <row r="840641" spans="31:32" x14ac:dyDescent="0.25">
      <c r="AE840641" s="36"/>
      <c r="AF840641" s="36"/>
    </row>
    <row r="840737" spans="31:32" x14ac:dyDescent="0.25">
      <c r="AE840737" s="34"/>
      <c r="AF840737" s="34"/>
    </row>
    <row r="840745" spans="31:32" x14ac:dyDescent="0.25">
      <c r="AE840745" s="36"/>
      <c r="AF840745" s="36"/>
    </row>
    <row r="840841" spans="31:32" x14ac:dyDescent="0.25">
      <c r="AE840841" s="34"/>
      <c r="AF840841" s="34"/>
    </row>
    <row r="840849" spans="31:32" x14ac:dyDescent="0.25">
      <c r="AE840849" s="36"/>
      <c r="AF840849" s="36"/>
    </row>
    <row r="840945" spans="31:32" x14ac:dyDescent="0.25">
      <c r="AE840945" s="34"/>
      <c r="AF840945" s="34"/>
    </row>
    <row r="840953" spans="31:32" x14ac:dyDescent="0.25">
      <c r="AE840953" s="36"/>
      <c r="AF840953" s="36"/>
    </row>
    <row r="841049" spans="31:32" x14ac:dyDescent="0.25">
      <c r="AE841049" s="34"/>
      <c r="AF841049" s="34"/>
    </row>
    <row r="841057" spans="31:32" x14ac:dyDescent="0.25">
      <c r="AE841057" s="36"/>
      <c r="AF841057" s="36"/>
    </row>
    <row r="841153" spans="31:32" x14ac:dyDescent="0.25">
      <c r="AE841153" s="34"/>
      <c r="AF841153" s="34"/>
    </row>
    <row r="841161" spans="31:32" x14ac:dyDescent="0.25">
      <c r="AE841161" s="36"/>
      <c r="AF841161" s="36"/>
    </row>
    <row r="841257" spans="31:32" x14ac:dyDescent="0.25">
      <c r="AE841257" s="34"/>
      <c r="AF841257" s="34"/>
    </row>
    <row r="841265" spans="31:32" x14ac:dyDescent="0.25">
      <c r="AE841265" s="36"/>
      <c r="AF841265" s="36"/>
    </row>
    <row r="841361" spans="31:32" x14ac:dyDescent="0.25">
      <c r="AE841361" s="34"/>
      <c r="AF841361" s="34"/>
    </row>
    <row r="841369" spans="31:32" x14ac:dyDescent="0.25">
      <c r="AE841369" s="36"/>
      <c r="AF841369" s="36"/>
    </row>
    <row r="841465" spans="31:32" x14ac:dyDescent="0.25">
      <c r="AE841465" s="34"/>
      <c r="AF841465" s="34"/>
    </row>
    <row r="841473" spans="31:32" x14ac:dyDescent="0.25">
      <c r="AE841473" s="36"/>
      <c r="AF841473" s="36"/>
    </row>
    <row r="841569" spans="31:32" x14ac:dyDescent="0.25">
      <c r="AE841569" s="34"/>
      <c r="AF841569" s="34"/>
    </row>
    <row r="841577" spans="31:32" x14ac:dyDescent="0.25">
      <c r="AE841577" s="36"/>
      <c r="AF841577" s="36"/>
    </row>
    <row r="841673" spans="31:32" x14ac:dyDescent="0.25">
      <c r="AE841673" s="34"/>
      <c r="AF841673" s="34"/>
    </row>
    <row r="841681" spans="31:32" x14ac:dyDescent="0.25">
      <c r="AE841681" s="36"/>
      <c r="AF841681" s="36"/>
    </row>
    <row r="841777" spans="31:32" x14ac:dyDescent="0.25">
      <c r="AE841777" s="34"/>
      <c r="AF841777" s="34"/>
    </row>
    <row r="841785" spans="31:32" x14ac:dyDescent="0.25">
      <c r="AE841785" s="36"/>
      <c r="AF841785" s="36"/>
    </row>
    <row r="841881" spans="31:32" x14ac:dyDescent="0.25">
      <c r="AE841881" s="34"/>
      <c r="AF841881" s="34"/>
    </row>
    <row r="841889" spans="31:32" x14ac:dyDescent="0.25">
      <c r="AE841889" s="36"/>
      <c r="AF841889" s="36"/>
    </row>
    <row r="841985" spans="31:32" x14ac:dyDescent="0.25">
      <c r="AE841985" s="34"/>
      <c r="AF841985" s="34"/>
    </row>
    <row r="841993" spans="31:32" x14ac:dyDescent="0.25">
      <c r="AE841993" s="36"/>
      <c r="AF841993" s="36"/>
    </row>
    <row r="842089" spans="31:32" x14ac:dyDescent="0.25">
      <c r="AE842089" s="34"/>
      <c r="AF842089" s="34"/>
    </row>
    <row r="842097" spans="31:32" x14ac:dyDescent="0.25">
      <c r="AE842097" s="36"/>
      <c r="AF842097" s="36"/>
    </row>
    <row r="842193" spans="31:32" x14ac:dyDescent="0.25">
      <c r="AE842193" s="34"/>
      <c r="AF842193" s="34"/>
    </row>
    <row r="842201" spans="31:32" x14ac:dyDescent="0.25">
      <c r="AE842201" s="36"/>
      <c r="AF842201" s="36"/>
    </row>
    <row r="842297" spans="31:32" x14ac:dyDescent="0.25">
      <c r="AE842297" s="34"/>
      <c r="AF842297" s="34"/>
    </row>
    <row r="842305" spans="31:32" x14ac:dyDescent="0.25">
      <c r="AE842305" s="36"/>
      <c r="AF842305" s="36"/>
    </row>
    <row r="842401" spans="31:32" x14ac:dyDescent="0.25">
      <c r="AE842401" s="34"/>
      <c r="AF842401" s="34"/>
    </row>
    <row r="842409" spans="31:32" x14ac:dyDescent="0.25">
      <c r="AE842409" s="36"/>
      <c r="AF842409" s="36"/>
    </row>
    <row r="842505" spans="31:32" x14ac:dyDescent="0.25">
      <c r="AE842505" s="34"/>
      <c r="AF842505" s="34"/>
    </row>
    <row r="842513" spans="31:32" x14ac:dyDescent="0.25">
      <c r="AE842513" s="36"/>
      <c r="AF842513" s="36"/>
    </row>
    <row r="842609" spans="31:32" x14ac:dyDescent="0.25">
      <c r="AE842609" s="34"/>
      <c r="AF842609" s="34"/>
    </row>
    <row r="842617" spans="31:32" x14ac:dyDescent="0.25">
      <c r="AE842617" s="36"/>
      <c r="AF842617" s="36"/>
    </row>
    <row r="842713" spans="31:32" x14ac:dyDescent="0.25">
      <c r="AE842713" s="34"/>
      <c r="AF842713" s="34"/>
    </row>
    <row r="842721" spans="31:32" x14ac:dyDescent="0.25">
      <c r="AE842721" s="36"/>
      <c r="AF842721" s="36"/>
    </row>
    <row r="842817" spans="31:32" x14ac:dyDescent="0.25">
      <c r="AE842817" s="34"/>
      <c r="AF842817" s="34"/>
    </row>
    <row r="842825" spans="31:32" x14ac:dyDescent="0.25">
      <c r="AE842825" s="36"/>
      <c r="AF842825" s="36"/>
    </row>
    <row r="842921" spans="31:32" x14ac:dyDescent="0.25">
      <c r="AE842921" s="34"/>
      <c r="AF842921" s="34"/>
    </row>
    <row r="842929" spans="31:32" x14ac:dyDescent="0.25">
      <c r="AE842929" s="36"/>
      <c r="AF842929" s="36"/>
    </row>
    <row r="843025" spans="31:32" x14ac:dyDescent="0.25">
      <c r="AE843025" s="34"/>
      <c r="AF843025" s="34"/>
    </row>
    <row r="843033" spans="31:32" x14ac:dyDescent="0.25">
      <c r="AE843033" s="36"/>
      <c r="AF843033" s="36"/>
    </row>
    <row r="843129" spans="31:32" x14ac:dyDescent="0.25">
      <c r="AE843129" s="34"/>
      <c r="AF843129" s="34"/>
    </row>
    <row r="843137" spans="31:32" x14ac:dyDescent="0.25">
      <c r="AE843137" s="36"/>
      <c r="AF843137" s="36"/>
    </row>
    <row r="843233" spans="31:32" x14ac:dyDescent="0.25">
      <c r="AE843233" s="34"/>
      <c r="AF843233" s="34"/>
    </row>
    <row r="843241" spans="31:32" x14ac:dyDescent="0.25">
      <c r="AE843241" s="36"/>
      <c r="AF843241" s="36"/>
    </row>
    <row r="843337" spans="31:32" x14ac:dyDescent="0.25">
      <c r="AE843337" s="34"/>
      <c r="AF843337" s="34"/>
    </row>
    <row r="843345" spans="31:32" x14ac:dyDescent="0.25">
      <c r="AE843345" s="36"/>
      <c r="AF843345" s="36"/>
    </row>
    <row r="843441" spans="31:32" x14ac:dyDescent="0.25">
      <c r="AE843441" s="34"/>
      <c r="AF843441" s="34"/>
    </row>
    <row r="843449" spans="31:32" x14ac:dyDescent="0.25">
      <c r="AE843449" s="36"/>
      <c r="AF843449" s="36"/>
    </row>
    <row r="843545" spans="31:32" x14ac:dyDescent="0.25">
      <c r="AE843545" s="34"/>
      <c r="AF843545" s="34"/>
    </row>
    <row r="843553" spans="31:32" x14ac:dyDescent="0.25">
      <c r="AE843553" s="36"/>
      <c r="AF843553" s="36"/>
    </row>
    <row r="843649" spans="31:32" x14ac:dyDescent="0.25">
      <c r="AE843649" s="34"/>
      <c r="AF843649" s="34"/>
    </row>
    <row r="843657" spans="31:32" x14ac:dyDescent="0.25">
      <c r="AE843657" s="36"/>
      <c r="AF843657" s="36"/>
    </row>
    <row r="843753" spans="31:32" x14ac:dyDescent="0.25">
      <c r="AE843753" s="34"/>
      <c r="AF843753" s="34"/>
    </row>
    <row r="843761" spans="31:32" x14ac:dyDescent="0.25">
      <c r="AE843761" s="36"/>
      <c r="AF843761" s="36"/>
    </row>
    <row r="843857" spans="31:32" x14ac:dyDescent="0.25">
      <c r="AE843857" s="34"/>
      <c r="AF843857" s="34"/>
    </row>
    <row r="843865" spans="31:32" x14ac:dyDescent="0.25">
      <c r="AE843865" s="36"/>
      <c r="AF843865" s="36"/>
    </row>
    <row r="843961" spans="31:32" x14ac:dyDescent="0.25">
      <c r="AE843961" s="34"/>
      <c r="AF843961" s="34"/>
    </row>
    <row r="843969" spans="31:32" x14ac:dyDescent="0.25">
      <c r="AE843969" s="36"/>
      <c r="AF843969" s="36"/>
    </row>
    <row r="844065" spans="31:32" x14ac:dyDescent="0.25">
      <c r="AE844065" s="34"/>
      <c r="AF844065" s="34"/>
    </row>
    <row r="844073" spans="31:32" x14ac:dyDescent="0.25">
      <c r="AE844073" s="36"/>
      <c r="AF844073" s="36"/>
    </row>
    <row r="844169" spans="31:32" x14ac:dyDescent="0.25">
      <c r="AE844169" s="34"/>
      <c r="AF844169" s="34"/>
    </row>
    <row r="844177" spans="31:32" x14ac:dyDescent="0.25">
      <c r="AE844177" s="36"/>
      <c r="AF844177" s="36"/>
    </row>
    <row r="844273" spans="31:32" x14ac:dyDescent="0.25">
      <c r="AE844273" s="34"/>
      <c r="AF844273" s="34"/>
    </row>
    <row r="844281" spans="31:32" x14ac:dyDescent="0.25">
      <c r="AE844281" s="36"/>
      <c r="AF844281" s="36"/>
    </row>
    <row r="844377" spans="31:32" x14ac:dyDescent="0.25">
      <c r="AE844377" s="34"/>
      <c r="AF844377" s="34"/>
    </row>
    <row r="844385" spans="31:32" x14ac:dyDescent="0.25">
      <c r="AE844385" s="36"/>
      <c r="AF844385" s="36"/>
    </row>
    <row r="844481" spans="31:32" x14ac:dyDescent="0.25">
      <c r="AE844481" s="34"/>
      <c r="AF844481" s="34"/>
    </row>
    <row r="844489" spans="31:32" x14ac:dyDescent="0.25">
      <c r="AE844489" s="36"/>
      <c r="AF844489" s="36"/>
    </row>
    <row r="844585" spans="31:32" x14ac:dyDescent="0.25">
      <c r="AE844585" s="34"/>
      <c r="AF844585" s="34"/>
    </row>
    <row r="844593" spans="31:32" x14ac:dyDescent="0.25">
      <c r="AE844593" s="36"/>
      <c r="AF844593" s="36"/>
    </row>
    <row r="844689" spans="31:32" x14ac:dyDescent="0.25">
      <c r="AE844689" s="34"/>
      <c r="AF844689" s="34"/>
    </row>
    <row r="844697" spans="31:32" x14ac:dyDescent="0.25">
      <c r="AE844697" s="36"/>
      <c r="AF844697" s="36"/>
    </row>
    <row r="844793" spans="31:32" x14ac:dyDescent="0.25">
      <c r="AE844793" s="34"/>
      <c r="AF844793" s="34"/>
    </row>
    <row r="844801" spans="31:32" x14ac:dyDescent="0.25">
      <c r="AE844801" s="36"/>
      <c r="AF844801" s="36"/>
    </row>
    <row r="844897" spans="31:32" x14ac:dyDescent="0.25">
      <c r="AE844897" s="34"/>
      <c r="AF844897" s="34"/>
    </row>
    <row r="844905" spans="31:32" x14ac:dyDescent="0.25">
      <c r="AE844905" s="36"/>
      <c r="AF844905" s="36"/>
    </row>
    <row r="845001" spans="31:32" x14ac:dyDescent="0.25">
      <c r="AE845001" s="34"/>
      <c r="AF845001" s="34"/>
    </row>
    <row r="845009" spans="31:32" x14ac:dyDescent="0.25">
      <c r="AE845009" s="36"/>
      <c r="AF845009" s="36"/>
    </row>
    <row r="845105" spans="31:32" x14ac:dyDescent="0.25">
      <c r="AE845105" s="34"/>
      <c r="AF845105" s="34"/>
    </row>
    <row r="845113" spans="31:32" x14ac:dyDescent="0.25">
      <c r="AE845113" s="36"/>
      <c r="AF845113" s="36"/>
    </row>
    <row r="845209" spans="31:32" x14ac:dyDescent="0.25">
      <c r="AE845209" s="34"/>
      <c r="AF845209" s="34"/>
    </row>
    <row r="845217" spans="31:32" x14ac:dyDescent="0.25">
      <c r="AE845217" s="36"/>
      <c r="AF845217" s="36"/>
    </row>
    <row r="845313" spans="31:32" x14ac:dyDescent="0.25">
      <c r="AE845313" s="34"/>
      <c r="AF845313" s="34"/>
    </row>
    <row r="845321" spans="31:32" x14ac:dyDescent="0.25">
      <c r="AE845321" s="36"/>
      <c r="AF845321" s="36"/>
    </row>
    <row r="845417" spans="31:32" x14ac:dyDescent="0.25">
      <c r="AE845417" s="34"/>
      <c r="AF845417" s="34"/>
    </row>
    <row r="845425" spans="31:32" x14ac:dyDescent="0.25">
      <c r="AE845425" s="36"/>
      <c r="AF845425" s="36"/>
    </row>
    <row r="845521" spans="31:32" x14ac:dyDescent="0.25">
      <c r="AE845521" s="34"/>
      <c r="AF845521" s="34"/>
    </row>
    <row r="845529" spans="31:32" x14ac:dyDescent="0.25">
      <c r="AE845529" s="36"/>
      <c r="AF845529" s="36"/>
    </row>
    <row r="845625" spans="31:32" x14ac:dyDescent="0.25">
      <c r="AE845625" s="34"/>
      <c r="AF845625" s="34"/>
    </row>
    <row r="845633" spans="31:32" x14ac:dyDescent="0.25">
      <c r="AE845633" s="36"/>
      <c r="AF845633" s="36"/>
    </row>
    <row r="845729" spans="31:32" x14ac:dyDescent="0.25">
      <c r="AE845729" s="34"/>
      <c r="AF845729" s="34"/>
    </row>
    <row r="845737" spans="31:32" x14ac:dyDescent="0.25">
      <c r="AE845737" s="36"/>
      <c r="AF845737" s="36"/>
    </row>
    <row r="845833" spans="31:32" x14ac:dyDescent="0.25">
      <c r="AE845833" s="34"/>
      <c r="AF845833" s="34"/>
    </row>
    <row r="845841" spans="31:32" x14ac:dyDescent="0.25">
      <c r="AE845841" s="36"/>
      <c r="AF845841" s="36"/>
    </row>
    <row r="845937" spans="31:32" x14ac:dyDescent="0.25">
      <c r="AE845937" s="34"/>
      <c r="AF845937" s="34"/>
    </row>
    <row r="845945" spans="31:32" x14ac:dyDescent="0.25">
      <c r="AE845945" s="36"/>
      <c r="AF845945" s="36"/>
    </row>
    <row r="846041" spans="31:32" x14ac:dyDescent="0.25">
      <c r="AE846041" s="34"/>
      <c r="AF846041" s="34"/>
    </row>
    <row r="846049" spans="31:32" x14ac:dyDescent="0.25">
      <c r="AE846049" s="36"/>
      <c r="AF846049" s="36"/>
    </row>
    <row r="846145" spans="31:32" x14ac:dyDescent="0.25">
      <c r="AE846145" s="34"/>
      <c r="AF846145" s="34"/>
    </row>
    <row r="846153" spans="31:32" x14ac:dyDescent="0.25">
      <c r="AE846153" s="36"/>
      <c r="AF846153" s="36"/>
    </row>
    <row r="846249" spans="31:32" x14ac:dyDescent="0.25">
      <c r="AE846249" s="34"/>
      <c r="AF846249" s="34"/>
    </row>
    <row r="846257" spans="31:32" x14ac:dyDescent="0.25">
      <c r="AE846257" s="36"/>
      <c r="AF846257" s="36"/>
    </row>
    <row r="846353" spans="31:32" x14ac:dyDescent="0.25">
      <c r="AE846353" s="34"/>
      <c r="AF846353" s="34"/>
    </row>
    <row r="846361" spans="31:32" x14ac:dyDescent="0.25">
      <c r="AE846361" s="36"/>
      <c r="AF846361" s="36"/>
    </row>
    <row r="846457" spans="31:32" x14ac:dyDescent="0.25">
      <c r="AE846457" s="34"/>
      <c r="AF846457" s="34"/>
    </row>
    <row r="846465" spans="31:32" x14ac:dyDescent="0.25">
      <c r="AE846465" s="36"/>
      <c r="AF846465" s="36"/>
    </row>
    <row r="846561" spans="31:32" x14ac:dyDescent="0.25">
      <c r="AE846561" s="34"/>
      <c r="AF846561" s="34"/>
    </row>
    <row r="846569" spans="31:32" x14ac:dyDescent="0.25">
      <c r="AE846569" s="36"/>
      <c r="AF846569" s="36"/>
    </row>
    <row r="846665" spans="31:32" x14ac:dyDescent="0.25">
      <c r="AE846665" s="34"/>
      <c r="AF846665" s="34"/>
    </row>
    <row r="846673" spans="31:32" x14ac:dyDescent="0.25">
      <c r="AE846673" s="36"/>
      <c r="AF846673" s="36"/>
    </row>
    <row r="846769" spans="31:32" x14ac:dyDescent="0.25">
      <c r="AE846769" s="34"/>
      <c r="AF846769" s="34"/>
    </row>
    <row r="846777" spans="31:32" x14ac:dyDescent="0.25">
      <c r="AE846777" s="36"/>
      <c r="AF846777" s="36"/>
    </row>
    <row r="846873" spans="31:32" x14ac:dyDescent="0.25">
      <c r="AE846873" s="34"/>
      <c r="AF846873" s="34"/>
    </row>
    <row r="846881" spans="31:32" x14ac:dyDescent="0.25">
      <c r="AE846881" s="36"/>
      <c r="AF846881" s="36"/>
    </row>
    <row r="846977" spans="31:32" x14ac:dyDescent="0.25">
      <c r="AE846977" s="34"/>
      <c r="AF846977" s="34"/>
    </row>
    <row r="846985" spans="31:32" x14ac:dyDescent="0.25">
      <c r="AE846985" s="36"/>
      <c r="AF846985" s="36"/>
    </row>
    <row r="847081" spans="31:32" x14ac:dyDescent="0.25">
      <c r="AE847081" s="34"/>
      <c r="AF847081" s="34"/>
    </row>
    <row r="847089" spans="31:32" x14ac:dyDescent="0.25">
      <c r="AE847089" s="36"/>
      <c r="AF847089" s="36"/>
    </row>
    <row r="847185" spans="31:32" x14ac:dyDescent="0.25">
      <c r="AE847185" s="34"/>
      <c r="AF847185" s="34"/>
    </row>
    <row r="847193" spans="31:32" x14ac:dyDescent="0.25">
      <c r="AE847193" s="36"/>
      <c r="AF847193" s="36"/>
    </row>
    <row r="847289" spans="31:32" x14ac:dyDescent="0.25">
      <c r="AE847289" s="34"/>
      <c r="AF847289" s="34"/>
    </row>
    <row r="847297" spans="31:32" x14ac:dyDescent="0.25">
      <c r="AE847297" s="36"/>
      <c r="AF847297" s="36"/>
    </row>
    <row r="847393" spans="31:32" x14ac:dyDescent="0.25">
      <c r="AE847393" s="34"/>
      <c r="AF847393" s="34"/>
    </row>
    <row r="847401" spans="31:32" x14ac:dyDescent="0.25">
      <c r="AE847401" s="36"/>
      <c r="AF847401" s="36"/>
    </row>
    <row r="847497" spans="31:32" x14ac:dyDescent="0.25">
      <c r="AE847497" s="34"/>
      <c r="AF847497" s="34"/>
    </row>
    <row r="847505" spans="31:32" x14ac:dyDescent="0.25">
      <c r="AE847505" s="36"/>
      <c r="AF847505" s="36"/>
    </row>
    <row r="847601" spans="31:32" x14ac:dyDescent="0.25">
      <c r="AE847601" s="34"/>
      <c r="AF847601" s="34"/>
    </row>
    <row r="847609" spans="31:32" x14ac:dyDescent="0.25">
      <c r="AE847609" s="36"/>
      <c r="AF847609" s="36"/>
    </row>
    <row r="847705" spans="31:32" x14ac:dyDescent="0.25">
      <c r="AE847705" s="34"/>
      <c r="AF847705" s="34"/>
    </row>
    <row r="847713" spans="31:32" x14ac:dyDescent="0.25">
      <c r="AE847713" s="36"/>
      <c r="AF847713" s="36"/>
    </row>
    <row r="847809" spans="31:32" x14ac:dyDescent="0.25">
      <c r="AE847809" s="34"/>
      <c r="AF847809" s="34"/>
    </row>
    <row r="847817" spans="31:32" x14ac:dyDescent="0.25">
      <c r="AE847817" s="36"/>
      <c r="AF847817" s="36"/>
    </row>
    <row r="847913" spans="31:32" x14ac:dyDescent="0.25">
      <c r="AE847913" s="34"/>
      <c r="AF847913" s="34"/>
    </row>
    <row r="847921" spans="31:32" x14ac:dyDescent="0.25">
      <c r="AE847921" s="36"/>
      <c r="AF847921" s="36"/>
    </row>
    <row r="848017" spans="31:32" x14ac:dyDescent="0.25">
      <c r="AE848017" s="34"/>
      <c r="AF848017" s="34"/>
    </row>
    <row r="848025" spans="31:32" x14ac:dyDescent="0.25">
      <c r="AE848025" s="36"/>
      <c r="AF848025" s="36"/>
    </row>
    <row r="848121" spans="31:32" x14ac:dyDescent="0.25">
      <c r="AE848121" s="34"/>
      <c r="AF848121" s="34"/>
    </row>
    <row r="848129" spans="31:32" x14ac:dyDescent="0.25">
      <c r="AE848129" s="36"/>
      <c r="AF848129" s="36"/>
    </row>
    <row r="848225" spans="31:32" x14ac:dyDescent="0.25">
      <c r="AE848225" s="34"/>
      <c r="AF848225" s="34"/>
    </row>
    <row r="848233" spans="31:32" x14ac:dyDescent="0.25">
      <c r="AE848233" s="36"/>
      <c r="AF848233" s="36"/>
    </row>
    <row r="848329" spans="31:32" x14ac:dyDescent="0.25">
      <c r="AE848329" s="34"/>
      <c r="AF848329" s="34"/>
    </row>
    <row r="848337" spans="31:32" x14ac:dyDescent="0.25">
      <c r="AE848337" s="36"/>
      <c r="AF848337" s="36"/>
    </row>
    <row r="848433" spans="31:32" x14ac:dyDescent="0.25">
      <c r="AE848433" s="34"/>
      <c r="AF848433" s="34"/>
    </row>
    <row r="848441" spans="31:32" x14ac:dyDescent="0.25">
      <c r="AE848441" s="36"/>
      <c r="AF848441" s="36"/>
    </row>
    <row r="848537" spans="31:32" x14ac:dyDescent="0.25">
      <c r="AE848537" s="34"/>
      <c r="AF848537" s="34"/>
    </row>
    <row r="848545" spans="31:32" x14ac:dyDescent="0.25">
      <c r="AE848545" s="36"/>
      <c r="AF848545" s="36"/>
    </row>
    <row r="848641" spans="31:32" x14ac:dyDescent="0.25">
      <c r="AE848641" s="34"/>
      <c r="AF848641" s="34"/>
    </row>
    <row r="848649" spans="31:32" x14ac:dyDescent="0.25">
      <c r="AE848649" s="36"/>
      <c r="AF848649" s="36"/>
    </row>
    <row r="848745" spans="31:32" x14ac:dyDescent="0.25">
      <c r="AE848745" s="34"/>
      <c r="AF848745" s="34"/>
    </row>
    <row r="848753" spans="31:32" x14ac:dyDescent="0.25">
      <c r="AE848753" s="36"/>
      <c r="AF848753" s="36"/>
    </row>
    <row r="848849" spans="31:32" x14ac:dyDescent="0.25">
      <c r="AE848849" s="34"/>
      <c r="AF848849" s="34"/>
    </row>
    <row r="848857" spans="31:32" x14ac:dyDescent="0.25">
      <c r="AE848857" s="36"/>
      <c r="AF848857" s="36"/>
    </row>
    <row r="848953" spans="31:32" x14ac:dyDescent="0.25">
      <c r="AE848953" s="34"/>
      <c r="AF848953" s="34"/>
    </row>
    <row r="848961" spans="31:32" x14ac:dyDescent="0.25">
      <c r="AE848961" s="36"/>
      <c r="AF848961" s="36"/>
    </row>
    <row r="849057" spans="31:32" x14ac:dyDescent="0.25">
      <c r="AE849057" s="34"/>
      <c r="AF849057" s="34"/>
    </row>
    <row r="849065" spans="31:32" x14ac:dyDescent="0.25">
      <c r="AE849065" s="36"/>
      <c r="AF849065" s="36"/>
    </row>
    <row r="849161" spans="31:32" x14ac:dyDescent="0.25">
      <c r="AE849161" s="34"/>
      <c r="AF849161" s="34"/>
    </row>
    <row r="849169" spans="31:32" x14ac:dyDescent="0.25">
      <c r="AE849169" s="36"/>
      <c r="AF849169" s="36"/>
    </row>
    <row r="849265" spans="31:32" x14ac:dyDescent="0.25">
      <c r="AE849265" s="34"/>
      <c r="AF849265" s="34"/>
    </row>
    <row r="849273" spans="31:32" x14ac:dyDescent="0.25">
      <c r="AE849273" s="36"/>
      <c r="AF849273" s="36"/>
    </row>
    <row r="849369" spans="31:32" x14ac:dyDescent="0.25">
      <c r="AE849369" s="34"/>
      <c r="AF849369" s="34"/>
    </row>
    <row r="849377" spans="31:32" x14ac:dyDescent="0.25">
      <c r="AE849377" s="36"/>
      <c r="AF849377" s="36"/>
    </row>
    <row r="849473" spans="31:32" x14ac:dyDescent="0.25">
      <c r="AE849473" s="34"/>
      <c r="AF849473" s="34"/>
    </row>
    <row r="849481" spans="31:32" x14ac:dyDescent="0.25">
      <c r="AE849481" s="36"/>
      <c r="AF849481" s="36"/>
    </row>
    <row r="849577" spans="31:32" x14ac:dyDescent="0.25">
      <c r="AE849577" s="34"/>
      <c r="AF849577" s="34"/>
    </row>
    <row r="849585" spans="31:32" x14ac:dyDescent="0.25">
      <c r="AE849585" s="36"/>
      <c r="AF849585" s="36"/>
    </row>
    <row r="849681" spans="31:32" x14ac:dyDescent="0.25">
      <c r="AE849681" s="34"/>
      <c r="AF849681" s="34"/>
    </row>
    <row r="849689" spans="31:32" x14ac:dyDescent="0.25">
      <c r="AE849689" s="36"/>
      <c r="AF849689" s="36"/>
    </row>
    <row r="849785" spans="31:32" x14ac:dyDescent="0.25">
      <c r="AE849785" s="34"/>
      <c r="AF849785" s="34"/>
    </row>
    <row r="849793" spans="31:32" x14ac:dyDescent="0.25">
      <c r="AE849793" s="36"/>
      <c r="AF849793" s="36"/>
    </row>
    <row r="849889" spans="31:32" x14ac:dyDescent="0.25">
      <c r="AE849889" s="34"/>
      <c r="AF849889" s="34"/>
    </row>
    <row r="849897" spans="31:32" x14ac:dyDescent="0.25">
      <c r="AE849897" s="36"/>
      <c r="AF849897" s="36"/>
    </row>
    <row r="849993" spans="31:32" x14ac:dyDescent="0.25">
      <c r="AE849993" s="34"/>
      <c r="AF849993" s="34"/>
    </row>
    <row r="850001" spans="31:32" x14ac:dyDescent="0.25">
      <c r="AE850001" s="36"/>
      <c r="AF850001" s="36"/>
    </row>
    <row r="850097" spans="31:32" x14ac:dyDescent="0.25">
      <c r="AE850097" s="34"/>
      <c r="AF850097" s="34"/>
    </row>
    <row r="850105" spans="31:32" x14ac:dyDescent="0.25">
      <c r="AE850105" s="36"/>
      <c r="AF850105" s="36"/>
    </row>
    <row r="850201" spans="31:32" x14ac:dyDescent="0.25">
      <c r="AE850201" s="34"/>
      <c r="AF850201" s="34"/>
    </row>
    <row r="850209" spans="31:32" x14ac:dyDescent="0.25">
      <c r="AE850209" s="36"/>
      <c r="AF850209" s="36"/>
    </row>
    <row r="850305" spans="31:32" x14ac:dyDescent="0.25">
      <c r="AE850305" s="34"/>
      <c r="AF850305" s="34"/>
    </row>
    <row r="850313" spans="31:32" x14ac:dyDescent="0.25">
      <c r="AE850313" s="36"/>
      <c r="AF850313" s="36"/>
    </row>
    <row r="850409" spans="31:32" x14ac:dyDescent="0.25">
      <c r="AE850409" s="34"/>
      <c r="AF850409" s="34"/>
    </row>
    <row r="850417" spans="31:32" x14ac:dyDescent="0.25">
      <c r="AE850417" s="36"/>
      <c r="AF850417" s="36"/>
    </row>
    <row r="850513" spans="31:32" x14ac:dyDescent="0.25">
      <c r="AE850513" s="34"/>
      <c r="AF850513" s="34"/>
    </row>
    <row r="850521" spans="31:32" x14ac:dyDescent="0.25">
      <c r="AE850521" s="36"/>
      <c r="AF850521" s="36"/>
    </row>
    <row r="850617" spans="31:32" x14ac:dyDescent="0.25">
      <c r="AE850617" s="34"/>
      <c r="AF850617" s="34"/>
    </row>
    <row r="850625" spans="31:32" x14ac:dyDescent="0.25">
      <c r="AE850625" s="36"/>
      <c r="AF850625" s="36"/>
    </row>
    <row r="850721" spans="31:32" x14ac:dyDescent="0.25">
      <c r="AE850721" s="34"/>
      <c r="AF850721" s="34"/>
    </row>
    <row r="850729" spans="31:32" x14ac:dyDescent="0.25">
      <c r="AE850729" s="36"/>
      <c r="AF850729" s="36"/>
    </row>
    <row r="850825" spans="31:32" x14ac:dyDescent="0.25">
      <c r="AE850825" s="34"/>
      <c r="AF850825" s="34"/>
    </row>
    <row r="850833" spans="31:32" x14ac:dyDescent="0.25">
      <c r="AE850833" s="36"/>
      <c r="AF850833" s="36"/>
    </row>
    <row r="850929" spans="31:32" x14ac:dyDescent="0.25">
      <c r="AE850929" s="34"/>
      <c r="AF850929" s="34"/>
    </row>
    <row r="850937" spans="31:32" x14ac:dyDescent="0.25">
      <c r="AE850937" s="36"/>
      <c r="AF850937" s="36"/>
    </row>
    <row r="851033" spans="31:32" x14ac:dyDescent="0.25">
      <c r="AE851033" s="34"/>
      <c r="AF851033" s="34"/>
    </row>
    <row r="851041" spans="31:32" x14ac:dyDescent="0.25">
      <c r="AE851041" s="36"/>
      <c r="AF851041" s="36"/>
    </row>
    <row r="851137" spans="31:32" x14ac:dyDescent="0.25">
      <c r="AE851137" s="34"/>
      <c r="AF851137" s="34"/>
    </row>
    <row r="851145" spans="31:32" x14ac:dyDescent="0.25">
      <c r="AE851145" s="36"/>
      <c r="AF851145" s="36"/>
    </row>
    <row r="851241" spans="31:32" x14ac:dyDescent="0.25">
      <c r="AE851241" s="34"/>
      <c r="AF851241" s="34"/>
    </row>
    <row r="851249" spans="31:32" x14ac:dyDescent="0.25">
      <c r="AE851249" s="36"/>
      <c r="AF851249" s="36"/>
    </row>
    <row r="851345" spans="31:32" x14ac:dyDescent="0.25">
      <c r="AE851345" s="34"/>
      <c r="AF851345" s="34"/>
    </row>
    <row r="851353" spans="31:32" x14ac:dyDescent="0.25">
      <c r="AE851353" s="36"/>
      <c r="AF851353" s="36"/>
    </row>
    <row r="851449" spans="31:32" x14ac:dyDescent="0.25">
      <c r="AE851449" s="34"/>
      <c r="AF851449" s="34"/>
    </row>
    <row r="851457" spans="31:32" x14ac:dyDescent="0.25">
      <c r="AE851457" s="36"/>
      <c r="AF851457" s="36"/>
    </row>
    <row r="851553" spans="31:32" x14ac:dyDescent="0.25">
      <c r="AE851553" s="34"/>
      <c r="AF851553" s="34"/>
    </row>
    <row r="851561" spans="31:32" x14ac:dyDescent="0.25">
      <c r="AE851561" s="36"/>
      <c r="AF851561" s="36"/>
    </row>
    <row r="851657" spans="31:32" x14ac:dyDescent="0.25">
      <c r="AE851657" s="34"/>
      <c r="AF851657" s="34"/>
    </row>
    <row r="851665" spans="31:32" x14ac:dyDescent="0.25">
      <c r="AE851665" s="36"/>
      <c r="AF851665" s="36"/>
    </row>
    <row r="851761" spans="31:32" x14ac:dyDescent="0.25">
      <c r="AE851761" s="34"/>
      <c r="AF851761" s="34"/>
    </row>
    <row r="851769" spans="31:32" x14ac:dyDescent="0.25">
      <c r="AE851769" s="36"/>
      <c r="AF851769" s="36"/>
    </row>
    <row r="851865" spans="31:32" x14ac:dyDescent="0.25">
      <c r="AE851865" s="34"/>
      <c r="AF851865" s="34"/>
    </row>
    <row r="851873" spans="31:32" x14ac:dyDescent="0.25">
      <c r="AE851873" s="36"/>
      <c r="AF851873" s="36"/>
    </row>
    <row r="851969" spans="31:32" x14ac:dyDescent="0.25">
      <c r="AE851969" s="34"/>
      <c r="AF851969" s="34"/>
    </row>
    <row r="851977" spans="31:32" x14ac:dyDescent="0.25">
      <c r="AE851977" s="36"/>
      <c r="AF851977" s="36"/>
    </row>
    <row r="852073" spans="31:32" x14ac:dyDescent="0.25">
      <c r="AE852073" s="34"/>
      <c r="AF852073" s="34"/>
    </row>
    <row r="852081" spans="31:32" x14ac:dyDescent="0.25">
      <c r="AE852081" s="36"/>
      <c r="AF852081" s="36"/>
    </row>
    <row r="852177" spans="31:32" x14ac:dyDescent="0.25">
      <c r="AE852177" s="34"/>
      <c r="AF852177" s="34"/>
    </row>
    <row r="852185" spans="31:32" x14ac:dyDescent="0.25">
      <c r="AE852185" s="36"/>
      <c r="AF852185" s="36"/>
    </row>
    <row r="852281" spans="31:32" x14ac:dyDescent="0.25">
      <c r="AE852281" s="34"/>
      <c r="AF852281" s="34"/>
    </row>
    <row r="852289" spans="31:32" x14ac:dyDescent="0.25">
      <c r="AE852289" s="36"/>
      <c r="AF852289" s="36"/>
    </row>
    <row r="852385" spans="31:32" x14ac:dyDescent="0.25">
      <c r="AE852385" s="34"/>
      <c r="AF852385" s="34"/>
    </row>
    <row r="852393" spans="31:32" x14ac:dyDescent="0.25">
      <c r="AE852393" s="36"/>
      <c r="AF852393" s="36"/>
    </row>
    <row r="852489" spans="31:32" x14ac:dyDescent="0.25">
      <c r="AE852489" s="34"/>
      <c r="AF852489" s="34"/>
    </row>
    <row r="852497" spans="31:32" x14ac:dyDescent="0.25">
      <c r="AE852497" s="36"/>
      <c r="AF852497" s="36"/>
    </row>
    <row r="852593" spans="31:32" x14ac:dyDescent="0.25">
      <c r="AE852593" s="34"/>
      <c r="AF852593" s="34"/>
    </row>
    <row r="852601" spans="31:32" x14ac:dyDescent="0.25">
      <c r="AE852601" s="36"/>
      <c r="AF852601" s="36"/>
    </row>
    <row r="852697" spans="31:32" x14ac:dyDescent="0.25">
      <c r="AE852697" s="34"/>
      <c r="AF852697" s="34"/>
    </row>
    <row r="852705" spans="31:32" x14ac:dyDescent="0.25">
      <c r="AE852705" s="36"/>
      <c r="AF852705" s="36"/>
    </row>
    <row r="852801" spans="31:32" x14ac:dyDescent="0.25">
      <c r="AE852801" s="34"/>
      <c r="AF852801" s="34"/>
    </row>
    <row r="852809" spans="31:32" x14ac:dyDescent="0.25">
      <c r="AE852809" s="36"/>
      <c r="AF852809" s="36"/>
    </row>
    <row r="852905" spans="31:32" x14ac:dyDescent="0.25">
      <c r="AE852905" s="34"/>
      <c r="AF852905" s="34"/>
    </row>
    <row r="852913" spans="31:32" x14ac:dyDescent="0.25">
      <c r="AE852913" s="36"/>
      <c r="AF852913" s="36"/>
    </row>
    <row r="853009" spans="31:32" x14ac:dyDescent="0.25">
      <c r="AE853009" s="34"/>
      <c r="AF853009" s="34"/>
    </row>
    <row r="853017" spans="31:32" x14ac:dyDescent="0.25">
      <c r="AE853017" s="36"/>
      <c r="AF853017" s="36"/>
    </row>
    <row r="853113" spans="31:32" x14ac:dyDescent="0.25">
      <c r="AE853113" s="34"/>
      <c r="AF853113" s="34"/>
    </row>
    <row r="853121" spans="31:32" x14ac:dyDescent="0.25">
      <c r="AE853121" s="36"/>
      <c r="AF853121" s="36"/>
    </row>
    <row r="853217" spans="31:32" x14ac:dyDescent="0.25">
      <c r="AE853217" s="34"/>
      <c r="AF853217" s="34"/>
    </row>
    <row r="853225" spans="31:32" x14ac:dyDescent="0.25">
      <c r="AE853225" s="36"/>
      <c r="AF853225" s="36"/>
    </row>
    <row r="853321" spans="31:32" x14ac:dyDescent="0.25">
      <c r="AE853321" s="34"/>
      <c r="AF853321" s="34"/>
    </row>
    <row r="853329" spans="31:32" x14ac:dyDescent="0.25">
      <c r="AE853329" s="36"/>
      <c r="AF853329" s="36"/>
    </row>
    <row r="853425" spans="31:32" x14ac:dyDescent="0.25">
      <c r="AE853425" s="34"/>
      <c r="AF853425" s="34"/>
    </row>
    <row r="853433" spans="31:32" x14ac:dyDescent="0.25">
      <c r="AE853433" s="36"/>
      <c r="AF853433" s="36"/>
    </row>
    <row r="853529" spans="31:32" x14ac:dyDescent="0.25">
      <c r="AE853529" s="34"/>
      <c r="AF853529" s="34"/>
    </row>
    <row r="853537" spans="31:32" x14ac:dyDescent="0.25">
      <c r="AE853537" s="36"/>
      <c r="AF853537" s="36"/>
    </row>
    <row r="853633" spans="31:32" x14ac:dyDescent="0.25">
      <c r="AE853633" s="34"/>
      <c r="AF853633" s="34"/>
    </row>
    <row r="853641" spans="31:32" x14ac:dyDescent="0.25">
      <c r="AE853641" s="36"/>
      <c r="AF853641" s="36"/>
    </row>
    <row r="853737" spans="31:32" x14ac:dyDescent="0.25">
      <c r="AE853737" s="34"/>
      <c r="AF853737" s="34"/>
    </row>
    <row r="853745" spans="31:32" x14ac:dyDescent="0.25">
      <c r="AE853745" s="36"/>
      <c r="AF853745" s="36"/>
    </row>
    <row r="853841" spans="31:32" x14ac:dyDescent="0.25">
      <c r="AE853841" s="34"/>
      <c r="AF853841" s="34"/>
    </row>
    <row r="853849" spans="31:32" x14ac:dyDescent="0.25">
      <c r="AE853849" s="36"/>
      <c r="AF853849" s="36"/>
    </row>
    <row r="853945" spans="31:32" x14ac:dyDescent="0.25">
      <c r="AE853945" s="34"/>
      <c r="AF853945" s="34"/>
    </row>
    <row r="853953" spans="31:32" x14ac:dyDescent="0.25">
      <c r="AE853953" s="36"/>
      <c r="AF853953" s="36"/>
    </row>
    <row r="854049" spans="31:32" x14ac:dyDescent="0.25">
      <c r="AE854049" s="34"/>
      <c r="AF854049" s="34"/>
    </row>
    <row r="854057" spans="31:32" x14ac:dyDescent="0.25">
      <c r="AE854057" s="36"/>
      <c r="AF854057" s="36"/>
    </row>
    <row r="854153" spans="31:32" x14ac:dyDescent="0.25">
      <c r="AE854153" s="34"/>
      <c r="AF854153" s="34"/>
    </row>
    <row r="854161" spans="31:32" x14ac:dyDescent="0.25">
      <c r="AE854161" s="36"/>
      <c r="AF854161" s="36"/>
    </row>
    <row r="854257" spans="31:32" x14ac:dyDescent="0.25">
      <c r="AE854257" s="34"/>
      <c r="AF854257" s="34"/>
    </row>
    <row r="854265" spans="31:32" x14ac:dyDescent="0.25">
      <c r="AE854265" s="36"/>
      <c r="AF854265" s="36"/>
    </row>
    <row r="854361" spans="31:32" x14ac:dyDescent="0.25">
      <c r="AE854361" s="34"/>
      <c r="AF854361" s="34"/>
    </row>
    <row r="854369" spans="31:32" x14ac:dyDescent="0.25">
      <c r="AE854369" s="36"/>
      <c r="AF854369" s="36"/>
    </row>
    <row r="854465" spans="31:32" x14ac:dyDescent="0.25">
      <c r="AE854465" s="34"/>
      <c r="AF854465" s="34"/>
    </row>
    <row r="854473" spans="31:32" x14ac:dyDescent="0.25">
      <c r="AE854473" s="36"/>
      <c r="AF854473" s="36"/>
    </row>
    <row r="854569" spans="31:32" x14ac:dyDescent="0.25">
      <c r="AE854569" s="34"/>
      <c r="AF854569" s="34"/>
    </row>
    <row r="854577" spans="31:32" x14ac:dyDescent="0.25">
      <c r="AE854577" s="36"/>
      <c r="AF854577" s="36"/>
    </row>
    <row r="854673" spans="31:32" x14ac:dyDescent="0.25">
      <c r="AE854673" s="34"/>
      <c r="AF854673" s="34"/>
    </row>
    <row r="854681" spans="31:32" x14ac:dyDescent="0.25">
      <c r="AE854681" s="36"/>
      <c r="AF854681" s="36"/>
    </row>
    <row r="854777" spans="31:32" x14ac:dyDescent="0.25">
      <c r="AE854777" s="34"/>
      <c r="AF854777" s="34"/>
    </row>
    <row r="854785" spans="31:32" x14ac:dyDescent="0.25">
      <c r="AE854785" s="36"/>
      <c r="AF854785" s="36"/>
    </row>
    <row r="854881" spans="31:32" x14ac:dyDescent="0.25">
      <c r="AE854881" s="34"/>
      <c r="AF854881" s="34"/>
    </row>
    <row r="854889" spans="31:32" x14ac:dyDescent="0.25">
      <c r="AE854889" s="36"/>
      <c r="AF854889" s="36"/>
    </row>
    <row r="854985" spans="31:32" x14ac:dyDescent="0.25">
      <c r="AE854985" s="34"/>
      <c r="AF854985" s="34"/>
    </row>
    <row r="854993" spans="31:32" x14ac:dyDescent="0.25">
      <c r="AE854993" s="36"/>
      <c r="AF854993" s="36"/>
    </row>
    <row r="855089" spans="31:32" x14ac:dyDescent="0.25">
      <c r="AE855089" s="34"/>
      <c r="AF855089" s="34"/>
    </row>
    <row r="855097" spans="31:32" x14ac:dyDescent="0.25">
      <c r="AE855097" s="36"/>
      <c r="AF855097" s="36"/>
    </row>
    <row r="855193" spans="31:32" x14ac:dyDescent="0.25">
      <c r="AE855193" s="34"/>
      <c r="AF855193" s="34"/>
    </row>
    <row r="855201" spans="31:32" x14ac:dyDescent="0.25">
      <c r="AE855201" s="36"/>
      <c r="AF855201" s="36"/>
    </row>
    <row r="855297" spans="31:32" x14ac:dyDescent="0.25">
      <c r="AE855297" s="34"/>
      <c r="AF855297" s="34"/>
    </row>
    <row r="855305" spans="31:32" x14ac:dyDescent="0.25">
      <c r="AE855305" s="36"/>
      <c r="AF855305" s="36"/>
    </row>
    <row r="855401" spans="31:32" x14ac:dyDescent="0.25">
      <c r="AE855401" s="34"/>
      <c r="AF855401" s="34"/>
    </row>
    <row r="855409" spans="31:32" x14ac:dyDescent="0.25">
      <c r="AE855409" s="36"/>
      <c r="AF855409" s="36"/>
    </row>
    <row r="855505" spans="31:32" x14ac:dyDescent="0.25">
      <c r="AE855505" s="34"/>
      <c r="AF855505" s="34"/>
    </row>
    <row r="855513" spans="31:32" x14ac:dyDescent="0.25">
      <c r="AE855513" s="36"/>
      <c r="AF855513" s="36"/>
    </row>
    <row r="855609" spans="31:32" x14ac:dyDescent="0.25">
      <c r="AE855609" s="34"/>
      <c r="AF855609" s="34"/>
    </row>
    <row r="855617" spans="31:32" x14ac:dyDescent="0.25">
      <c r="AE855617" s="36"/>
      <c r="AF855617" s="36"/>
    </row>
    <row r="855713" spans="31:32" x14ac:dyDescent="0.25">
      <c r="AE855713" s="34"/>
      <c r="AF855713" s="34"/>
    </row>
    <row r="855721" spans="31:32" x14ac:dyDescent="0.25">
      <c r="AE855721" s="36"/>
      <c r="AF855721" s="36"/>
    </row>
    <row r="855817" spans="31:32" x14ac:dyDescent="0.25">
      <c r="AE855817" s="34"/>
      <c r="AF855817" s="34"/>
    </row>
    <row r="855825" spans="31:32" x14ac:dyDescent="0.25">
      <c r="AE855825" s="36"/>
      <c r="AF855825" s="36"/>
    </row>
    <row r="855921" spans="31:32" x14ac:dyDescent="0.25">
      <c r="AE855921" s="34"/>
      <c r="AF855921" s="34"/>
    </row>
    <row r="855929" spans="31:32" x14ac:dyDescent="0.25">
      <c r="AE855929" s="36"/>
      <c r="AF855929" s="36"/>
    </row>
    <row r="856025" spans="31:32" x14ac:dyDescent="0.25">
      <c r="AE856025" s="34"/>
      <c r="AF856025" s="34"/>
    </row>
    <row r="856033" spans="31:32" x14ac:dyDescent="0.25">
      <c r="AE856033" s="36"/>
      <c r="AF856033" s="36"/>
    </row>
    <row r="856129" spans="31:32" x14ac:dyDescent="0.25">
      <c r="AE856129" s="34"/>
      <c r="AF856129" s="34"/>
    </row>
    <row r="856137" spans="31:32" x14ac:dyDescent="0.25">
      <c r="AE856137" s="36"/>
      <c r="AF856137" s="36"/>
    </row>
    <row r="856233" spans="31:32" x14ac:dyDescent="0.25">
      <c r="AE856233" s="34"/>
      <c r="AF856233" s="34"/>
    </row>
    <row r="856241" spans="31:32" x14ac:dyDescent="0.25">
      <c r="AE856241" s="36"/>
      <c r="AF856241" s="36"/>
    </row>
    <row r="856337" spans="31:32" x14ac:dyDescent="0.25">
      <c r="AE856337" s="34"/>
      <c r="AF856337" s="34"/>
    </row>
    <row r="856345" spans="31:32" x14ac:dyDescent="0.25">
      <c r="AE856345" s="36"/>
      <c r="AF856345" s="36"/>
    </row>
    <row r="856441" spans="31:32" x14ac:dyDescent="0.25">
      <c r="AE856441" s="34"/>
      <c r="AF856441" s="34"/>
    </row>
    <row r="856449" spans="31:32" x14ac:dyDescent="0.25">
      <c r="AE856449" s="36"/>
      <c r="AF856449" s="36"/>
    </row>
    <row r="856545" spans="31:32" x14ac:dyDescent="0.25">
      <c r="AE856545" s="34"/>
      <c r="AF856545" s="34"/>
    </row>
    <row r="856553" spans="31:32" x14ac:dyDescent="0.25">
      <c r="AE856553" s="36"/>
      <c r="AF856553" s="36"/>
    </row>
    <row r="856649" spans="31:32" x14ac:dyDescent="0.25">
      <c r="AE856649" s="34"/>
      <c r="AF856649" s="34"/>
    </row>
    <row r="856657" spans="31:32" x14ac:dyDescent="0.25">
      <c r="AE856657" s="36"/>
      <c r="AF856657" s="36"/>
    </row>
    <row r="856753" spans="31:32" x14ac:dyDescent="0.25">
      <c r="AE856753" s="34"/>
      <c r="AF856753" s="34"/>
    </row>
    <row r="856761" spans="31:32" x14ac:dyDescent="0.25">
      <c r="AE856761" s="36"/>
      <c r="AF856761" s="36"/>
    </row>
    <row r="856857" spans="31:32" x14ac:dyDescent="0.25">
      <c r="AE856857" s="34"/>
      <c r="AF856857" s="34"/>
    </row>
    <row r="856865" spans="31:32" x14ac:dyDescent="0.25">
      <c r="AE856865" s="36"/>
      <c r="AF856865" s="36"/>
    </row>
    <row r="856961" spans="31:32" x14ac:dyDescent="0.25">
      <c r="AE856961" s="34"/>
      <c r="AF856961" s="34"/>
    </row>
    <row r="856969" spans="31:32" x14ac:dyDescent="0.25">
      <c r="AE856969" s="36"/>
      <c r="AF856969" s="36"/>
    </row>
    <row r="857065" spans="31:32" x14ac:dyDescent="0.25">
      <c r="AE857065" s="34"/>
      <c r="AF857065" s="34"/>
    </row>
    <row r="857073" spans="31:32" x14ac:dyDescent="0.25">
      <c r="AE857073" s="36"/>
      <c r="AF857073" s="36"/>
    </row>
    <row r="857169" spans="31:32" x14ac:dyDescent="0.25">
      <c r="AE857169" s="34"/>
      <c r="AF857169" s="34"/>
    </row>
    <row r="857177" spans="31:32" x14ac:dyDescent="0.25">
      <c r="AE857177" s="36"/>
      <c r="AF857177" s="36"/>
    </row>
    <row r="857273" spans="31:32" x14ac:dyDescent="0.25">
      <c r="AE857273" s="34"/>
      <c r="AF857273" s="34"/>
    </row>
    <row r="857281" spans="31:32" x14ac:dyDescent="0.25">
      <c r="AE857281" s="36"/>
      <c r="AF857281" s="36"/>
    </row>
    <row r="857377" spans="31:32" x14ac:dyDescent="0.25">
      <c r="AE857377" s="34"/>
      <c r="AF857377" s="34"/>
    </row>
    <row r="857385" spans="31:32" x14ac:dyDescent="0.25">
      <c r="AE857385" s="36"/>
      <c r="AF857385" s="36"/>
    </row>
    <row r="857481" spans="31:32" x14ac:dyDescent="0.25">
      <c r="AE857481" s="34"/>
      <c r="AF857481" s="34"/>
    </row>
    <row r="857489" spans="31:32" x14ac:dyDescent="0.25">
      <c r="AE857489" s="36"/>
      <c r="AF857489" s="36"/>
    </row>
    <row r="857585" spans="31:32" x14ac:dyDescent="0.25">
      <c r="AE857585" s="34"/>
      <c r="AF857585" s="34"/>
    </row>
    <row r="857593" spans="31:32" x14ac:dyDescent="0.25">
      <c r="AE857593" s="36"/>
      <c r="AF857593" s="36"/>
    </row>
    <row r="857689" spans="31:32" x14ac:dyDescent="0.25">
      <c r="AE857689" s="34"/>
      <c r="AF857689" s="34"/>
    </row>
    <row r="857697" spans="31:32" x14ac:dyDescent="0.25">
      <c r="AE857697" s="36"/>
      <c r="AF857697" s="36"/>
    </row>
    <row r="857793" spans="31:32" x14ac:dyDescent="0.25">
      <c r="AE857793" s="34"/>
      <c r="AF857793" s="34"/>
    </row>
    <row r="857801" spans="31:32" x14ac:dyDescent="0.25">
      <c r="AE857801" s="36"/>
      <c r="AF857801" s="36"/>
    </row>
    <row r="857897" spans="31:32" x14ac:dyDescent="0.25">
      <c r="AE857897" s="34"/>
      <c r="AF857897" s="34"/>
    </row>
    <row r="857905" spans="31:32" x14ac:dyDescent="0.25">
      <c r="AE857905" s="36"/>
      <c r="AF857905" s="36"/>
    </row>
    <row r="858001" spans="31:32" x14ac:dyDescent="0.25">
      <c r="AE858001" s="34"/>
      <c r="AF858001" s="34"/>
    </row>
    <row r="858009" spans="31:32" x14ac:dyDescent="0.25">
      <c r="AE858009" s="36"/>
      <c r="AF858009" s="36"/>
    </row>
    <row r="858105" spans="31:32" x14ac:dyDescent="0.25">
      <c r="AE858105" s="34"/>
      <c r="AF858105" s="34"/>
    </row>
    <row r="858113" spans="31:32" x14ac:dyDescent="0.25">
      <c r="AE858113" s="36"/>
      <c r="AF858113" s="36"/>
    </row>
    <row r="858209" spans="31:32" x14ac:dyDescent="0.25">
      <c r="AE858209" s="34"/>
      <c r="AF858209" s="34"/>
    </row>
    <row r="858217" spans="31:32" x14ac:dyDescent="0.25">
      <c r="AE858217" s="36"/>
      <c r="AF858217" s="36"/>
    </row>
    <row r="858313" spans="31:32" x14ac:dyDescent="0.25">
      <c r="AE858313" s="34"/>
      <c r="AF858313" s="34"/>
    </row>
    <row r="858321" spans="31:32" x14ac:dyDescent="0.25">
      <c r="AE858321" s="36"/>
      <c r="AF858321" s="36"/>
    </row>
    <row r="858417" spans="31:32" x14ac:dyDescent="0.25">
      <c r="AE858417" s="34"/>
      <c r="AF858417" s="34"/>
    </row>
    <row r="858425" spans="31:32" x14ac:dyDescent="0.25">
      <c r="AE858425" s="36"/>
      <c r="AF858425" s="36"/>
    </row>
    <row r="858521" spans="31:32" x14ac:dyDescent="0.25">
      <c r="AE858521" s="34"/>
      <c r="AF858521" s="34"/>
    </row>
    <row r="858529" spans="31:32" x14ac:dyDescent="0.25">
      <c r="AE858529" s="36"/>
      <c r="AF858529" s="36"/>
    </row>
    <row r="858625" spans="31:32" x14ac:dyDescent="0.25">
      <c r="AE858625" s="34"/>
      <c r="AF858625" s="34"/>
    </row>
    <row r="858633" spans="31:32" x14ac:dyDescent="0.25">
      <c r="AE858633" s="36"/>
      <c r="AF858633" s="36"/>
    </row>
    <row r="858729" spans="31:32" x14ac:dyDescent="0.25">
      <c r="AE858729" s="34"/>
      <c r="AF858729" s="34"/>
    </row>
    <row r="858737" spans="31:32" x14ac:dyDescent="0.25">
      <c r="AE858737" s="36"/>
      <c r="AF858737" s="36"/>
    </row>
    <row r="858833" spans="31:32" x14ac:dyDescent="0.25">
      <c r="AE858833" s="34"/>
      <c r="AF858833" s="34"/>
    </row>
    <row r="858841" spans="31:32" x14ac:dyDescent="0.25">
      <c r="AE858841" s="36"/>
      <c r="AF858841" s="36"/>
    </row>
    <row r="858937" spans="31:32" x14ac:dyDescent="0.25">
      <c r="AE858937" s="34"/>
      <c r="AF858937" s="34"/>
    </row>
    <row r="858945" spans="31:32" x14ac:dyDescent="0.25">
      <c r="AE858945" s="36"/>
      <c r="AF858945" s="36"/>
    </row>
    <row r="859041" spans="31:32" x14ac:dyDescent="0.25">
      <c r="AE859041" s="34"/>
      <c r="AF859041" s="34"/>
    </row>
    <row r="859049" spans="31:32" x14ac:dyDescent="0.25">
      <c r="AE859049" s="36"/>
      <c r="AF859049" s="36"/>
    </row>
    <row r="859145" spans="31:32" x14ac:dyDescent="0.25">
      <c r="AE859145" s="34"/>
      <c r="AF859145" s="34"/>
    </row>
    <row r="859153" spans="31:32" x14ac:dyDescent="0.25">
      <c r="AE859153" s="36"/>
      <c r="AF859153" s="36"/>
    </row>
    <row r="859249" spans="31:32" x14ac:dyDescent="0.25">
      <c r="AE859249" s="34"/>
      <c r="AF859249" s="34"/>
    </row>
    <row r="859257" spans="31:32" x14ac:dyDescent="0.25">
      <c r="AE859257" s="36"/>
      <c r="AF859257" s="36"/>
    </row>
    <row r="859353" spans="31:32" x14ac:dyDescent="0.25">
      <c r="AE859353" s="34"/>
      <c r="AF859353" s="34"/>
    </row>
    <row r="859361" spans="31:32" x14ac:dyDescent="0.25">
      <c r="AE859361" s="36"/>
      <c r="AF859361" s="36"/>
    </row>
    <row r="859457" spans="31:32" x14ac:dyDescent="0.25">
      <c r="AE859457" s="34"/>
      <c r="AF859457" s="34"/>
    </row>
    <row r="859465" spans="31:32" x14ac:dyDescent="0.25">
      <c r="AE859465" s="36"/>
      <c r="AF859465" s="36"/>
    </row>
    <row r="859561" spans="31:32" x14ac:dyDescent="0.25">
      <c r="AE859561" s="34"/>
      <c r="AF859561" s="34"/>
    </row>
    <row r="859569" spans="31:32" x14ac:dyDescent="0.25">
      <c r="AE859569" s="36"/>
      <c r="AF859569" s="36"/>
    </row>
    <row r="859665" spans="31:32" x14ac:dyDescent="0.25">
      <c r="AE859665" s="34"/>
      <c r="AF859665" s="34"/>
    </row>
    <row r="859673" spans="31:32" x14ac:dyDescent="0.25">
      <c r="AE859673" s="36"/>
      <c r="AF859673" s="36"/>
    </row>
    <row r="859769" spans="31:32" x14ac:dyDescent="0.25">
      <c r="AE859769" s="34"/>
      <c r="AF859769" s="34"/>
    </row>
    <row r="859777" spans="31:32" x14ac:dyDescent="0.25">
      <c r="AE859777" s="36"/>
      <c r="AF859777" s="36"/>
    </row>
    <row r="859873" spans="31:32" x14ac:dyDescent="0.25">
      <c r="AE859873" s="34"/>
      <c r="AF859873" s="34"/>
    </row>
    <row r="859881" spans="31:32" x14ac:dyDescent="0.25">
      <c r="AE859881" s="36"/>
      <c r="AF859881" s="36"/>
    </row>
    <row r="859977" spans="31:32" x14ac:dyDescent="0.25">
      <c r="AE859977" s="34"/>
      <c r="AF859977" s="34"/>
    </row>
    <row r="859985" spans="31:32" x14ac:dyDescent="0.25">
      <c r="AE859985" s="36"/>
      <c r="AF859985" s="36"/>
    </row>
    <row r="860081" spans="31:32" x14ac:dyDescent="0.25">
      <c r="AE860081" s="34"/>
      <c r="AF860081" s="34"/>
    </row>
    <row r="860089" spans="31:32" x14ac:dyDescent="0.25">
      <c r="AE860089" s="36"/>
      <c r="AF860089" s="36"/>
    </row>
    <row r="860185" spans="31:32" x14ac:dyDescent="0.25">
      <c r="AE860185" s="34"/>
      <c r="AF860185" s="34"/>
    </row>
    <row r="860193" spans="31:32" x14ac:dyDescent="0.25">
      <c r="AE860193" s="36"/>
      <c r="AF860193" s="36"/>
    </row>
    <row r="860289" spans="31:32" x14ac:dyDescent="0.25">
      <c r="AE860289" s="34"/>
      <c r="AF860289" s="34"/>
    </row>
    <row r="860297" spans="31:32" x14ac:dyDescent="0.25">
      <c r="AE860297" s="36"/>
      <c r="AF860297" s="36"/>
    </row>
    <row r="860393" spans="31:32" x14ac:dyDescent="0.25">
      <c r="AE860393" s="34"/>
      <c r="AF860393" s="34"/>
    </row>
    <row r="860401" spans="31:32" x14ac:dyDescent="0.25">
      <c r="AE860401" s="36"/>
      <c r="AF860401" s="36"/>
    </row>
    <row r="860497" spans="31:32" x14ac:dyDescent="0.25">
      <c r="AE860497" s="34"/>
      <c r="AF860497" s="34"/>
    </row>
    <row r="860505" spans="31:32" x14ac:dyDescent="0.25">
      <c r="AE860505" s="36"/>
      <c r="AF860505" s="36"/>
    </row>
    <row r="860601" spans="31:32" x14ac:dyDescent="0.25">
      <c r="AE860601" s="34"/>
      <c r="AF860601" s="34"/>
    </row>
    <row r="860609" spans="31:32" x14ac:dyDescent="0.25">
      <c r="AE860609" s="36"/>
      <c r="AF860609" s="36"/>
    </row>
    <row r="860705" spans="31:32" x14ac:dyDescent="0.25">
      <c r="AE860705" s="34"/>
      <c r="AF860705" s="34"/>
    </row>
    <row r="860713" spans="31:32" x14ac:dyDescent="0.25">
      <c r="AE860713" s="36"/>
      <c r="AF860713" s="36"/>
    </row>
    <row r="860809" spans="31:32" x14ac:dyDescent="0.25">
      <c r="AE860809" s="34"/>
      <c r="AF860809" s="34"/>
    </row>
    <row r="860817" spans="31:32" x14ac:dyDescent="0.25">
      <c r="AE860817" s="36"/>
      <c r="AF860817" s="36"/>
    </row>
    <row r="860913" spans="31:32" x14ac:dyDescent="0.25">
      <c r="AE860913" s="34"/>
      <c r="AF860913" s="34"/>
    </row>
    <row r="860921" spans="31:32" x14ac:dyDescent="0.25">
      <c r="AE860921" s="36"/>
      <c r="AF860921" s="36"/>
    </row>
    <row r="861017" spans="31:32" x14ac:dyDescent="0.25">
      <c r="AE861017" s="34"/>
      <c r="AF861017" s="34"/>
    </row>
    <row r="861025" spans="31:32" x14ac:dyDescent="0.25">
      <c r="AE861025" s="36"/>
      <c r="AF861025" s="36"/>
    </row>
    <row r="861121" spans="31:32" x14ac:dyDescent="0.25">
      <c r="AE861121" s="34"/>
      <c r="AF861121" s="34"/>
    </row>
    <row r="861129" spans="31:32" x14ac:dyDescent="0.25">
      <c r="AE861129" s="36"/>
      <c r="AF861129" s="36"/>
    </row>
    <row r="861225" spans="31:32" x14ac:dyDescent="0.25">
      <c r="AE861225" s="34"/>
      <c r="AF861225" s="34"/>
    </row>
    <row r="861233" spans="31:32" x14ac:dyDescent="0.25">
      <c r="AE861233" s="36"/>
      <c r="AF861233" s="36"/>
    </row>
    <row r="861329" spans="31:32" x14ac:dyDescent="0.25">
      <c r="AE861329" s="34"/>
      <c r="AF861329" s="34"/>
    </row>
    <row r="861337" spans="31:32" x14ac:dyDescent="0.25">
      <c r="AE861337" s="36"/>
      <c r="AF861337" s="36"/>
    </row>
    <row r="861433" spans="31:32" x14ac:dyDescent="0.25">
      <c r="AE861433" s="34"/>
      <c r="AF861433" s="34"/>
    </row>
    <row r="861441" spans="31:32" x14ac:dyDescent="0.25">
      <c r="AE861441" s="36"/>
      <c r="AF861441" s="36"/>
    </row>
    <row r="861537" spans="31:32" x14ac:dyDescent="0.25">
      <c r="AE861537" s="34"/>
      <c r="AF861537" s="34"/>
    </row>
    <row r="861545" spans="31:32" x14ac:dyDescent="0.25">
      <c r="AE861545" s="36"/>
      <c r="AF861545" s="36"/>
    </row>
    <row r="861641" spans="31:32" x14ac:dyDescent="0.25">
      <c r="AE861641" s="34"/>
      <c r="AF861641" s="34"/>
    </row>
    <row r="861649" spans="31:32" x14ac:dyDescent="0.25">
      <c r="AE861649" s="36"/>
      <c r="AF861649" s="36"/>
    </row>
    <row r="861745" spans="31:32" x14ac:dyDescent="0.25">
      <c r="AE861745" s="34"/>
      <c r="AF861745" s="34"/>
    </row>
    <row r="861753" spans="31:32" x14ac:dyDescent="0.25">
      <c r="AE861753" s="36"/>
      <c r="AF861753" s="36"/>
    </row>
    <row r="861849" spans="31:32" x14ac:dyDescent="0.25">
      <c r="AE861849" s="34"/>
      <c r="AF861849" s="34"/>
    </row>
    <row r="861857" spans="31:32" x14ac:dyDescent="0.25">
      <c r="AE861857" s="36"/>
      <c r="AF861857" s="36"/>
    </row>
    <row r="861953" spans="31:32" x14ac:dyDescent="0.25">
      <c r="AE861953" s="34"/>
      <c r="AF861953" s="34"/>
    </row>
    <row r="861961" spans="31:32" x14ac:dyDescent="0.25">
      <c r="AE861961" s="36"/>
      <c r="AF861961" s="36"/>
    </row>
    <row r="862057" spans="31:32" x14ac:dyDescent="0.25">
      <c r="AE862057" s="34"/>
      <c r="AF862057" s="34"/>
    </row>
    <row r="862065" spans="31:32" x14ac:dyDescent="0.25">
      <c r="AE862065" s="36"/>
      <c r="AF862065" s="36"/>
    </row>
    <row r="862161" spans="31:32" x14ac:dyDescent="0.25">
      <c r="AE862161" s="34"/>
      <c r="AF862161" s="34"/>
    </row>
    <row r="862169" spans="31:32" x14ac:dyDescent="0.25">
      <c r="AE862169" s="36"/>
      <c r="AF862169" s="36"/>
    </row>
    <row r="862265" spans="31:32" x14ac:dyDescent="0.25">
      <c r="AE862265" s="34"/>
      <c r="AF862265" s="34"/>
    </row>
    <row r="862273" spans="31:32" x14ac:dyDescent="0.25">
      <c r="AE862273" s="36"/>
      <c r="AF862273" s="36"/>
    </row>
    <row r="862369" spans="31:32" x14ac:dyDescent="0.25">
      <c r="AE862369" s="34"/>
      <c r="AF862369" s="34"/>
    </row>
    <row r="862377" spans="31:32" x14ac:dyDescent="0.25">
      <c r="AE862377" s="36"/>
      <c r="AF862377" s="36"/>
    </row>
    <row r="862473" spans="31:32" x14ac:dyDescent="0.25">
      <c r="AE862473" s="34"/>
      <c r="AF862473" s="34"/>
    </row>
    <row r="862481" spans="31:32" x14ac:dyDescent="0.25">
      <c r="AE862481" s="36"/>
      <c r="AF862481" s="36"/>
    </row>
    <row r="862577" spans="31:32" x14ac:dyDescent="0.25">
      <c r="AE862577" s="34"/>
      <c r="AF862577" s="34"/>
    </row>
    <row r="862585" spans="31:32" x14ac:dyDescent="0.25">
      <c r="AE862585" s="36"/>
      <c r="AF862585" s="36"/>
    </row>
    <row r="862681" spans="31:32" x14ac:dyDescent="0.25">
      <c r="AE862681" s="34"/>
      <c r="AF862681" s="34"/>
    </row>
    <row r="862689" spans="31:32" x14ac:dyDescent="0.25">
      <c r="AE862689" s="36"/>
      <c r="AF862689" s="36"/>
    </row>
    <row r="862785" spans="31:32" x14ac:dyDescent="0.25">
      <c r="AE862785" s="34"/>
      <c r="AF862785" s="34"/>
    </row>
    <row r="862793" spans="31:32" x14ac:dyDescent="0.25">
      <c r="AE862793" s="36"/>
      <c r="AF862793" s="36"/>
    </row>
    <row r="862889" spans="31:32" x14ac:dyDescent="0.25">
      <c r="AE862889" s="34"/>
      <c r="AF862889" s="34"/>
    </row>
    <row r="862897" spans="31:32" x14ac:dyDescent="0.25">
      <c r="AE862897" s="36"/>
      <c r="AF862897" s="36"/>
    </row>
    <row r="862993" spans="31:32" x14ac:dyDescent="0.25">
      <c r="AE862993" s="34"/>
      <c r="AF862993" s="34"/>
    </row>
    <row r="863001" spans="31:32" x14ac:dyDescent="0.25">
      <c r="AE863001" s="36"/>
      <c r="AF863001" s="36"/>
    </row>
    <row r="863097" spans="31:32" x14ac:dyDescent="0.25">
      <c r="AE863097" s="34"/>
      <c r="AF863097" s="34"/>
    </row>
    <row r="863105" spans="31:32" x14ac:dyDescent="0.25">
      <c r="AE863105" s="36"/>
      <c r="AF863105" s="36"/>
    </row>
    <row r="863201" spans="31:32" x14ac:dyDescent="0.25">
      <c r="AE863201" s="34"/>
      <c r="AF863201" s="34"/>
    </row>
    <row r="863209" spans="31:32" x14ac:dyDescent="0.25">
      <c r="AE863209" s="36"/>
      <c r="AF863209" s="36"/>
    </row>
    <row r="863305" spans="31:32" x14ac:dyDescent="0.25">
      <c r="AE863305" s="34"/>
      <c r="AF863305" s="34"/>
    </row>
    <row r="863313" spans="31:32" x14ac:dyDescent="0.25">
      <c r="AE863313" s="36"/>
      <c r="AF863313" s="36"/>
    </row>
    <row r="863409" spans="31:32" x14ac:dyDescent="0.25">
      <c r="AE863409" s="34"/>
      <c r="AF863409" s="34"/>
    </row>
    <row r="863417" spans="31:32" x14ac:dyDescent="0.25">
      <c r="AE863417" s="36"/>
      <c r="AF863417" s="36"/>
    </row>
    <row r="863513" spans="31:32" x14ac:dyDescent="0.25">
      <c r="AE863513" s="34"/>
      <c r="AF863513" s="34"/>
    </row>
    <row r="863521" spans="31:32" x14ac:dyDescent="0.25">
      <c r="AE863521" s="36"/>
      <c r="AF863521" s="36"/>
    </row>
    <row r="863617" spans="31:32" x14ac:dyDescent="0.25">
      <c r="AE863617" s="34"/>
      <c r="AF863617" s="34"/>
    </row>
    <row r="863625" spans="31:32" x14ac:dyDescent="0.25">
      <c r="AE863625" s="36"/>
      <c r="AF863625" s="36"/>
    </row>
    <row r="863721" spans="31:32" x14ac:dyDescent="0.25">
      <c r="AE863721" s="34"/>
      <c r="AF863721" s="34"/>
    </row>
    <row r="863729" spans="31:32" x14ac:dyDescent="0.25">
      <c r="AE863729" s="36"/>
      <c r="AF863729" s="36"/>
    </row>
    <row r="863825" spans="31:32" x14ac:dyDescent="0.25">
      <c r="AE863825" s="34"/>
      <c r="AF863825" s="34"/>
    </row>
    <row r="863833" spans="31:32" x14ac:dyDescent="0.25">
      <c r="AE863833" s="36"/>
      <c r="AF863833" s="36"/>
    </row>
    <row r="863929" spans="31:32" x14ac:dyDescent="0.25">
      <c r="AE863929" s="34"/>
      <c r="AF863929" s="34"/>
    </row>
    <row r="863937" spans="31:32" x14ac:dyDescent="0.25">
      <c r="AE863937" s="36"/>
      <c r="AF863937" s="36"/>
    </row>
    <row r="864033" spans="31:32" x14ac:dyDescent="0.25">
      <c r="AE864033" s="34"/>
      <c r="AF864033" s="34"/>
    </row>
    <row r="864041" spans="31:32" x14ac:dyDescent="0.25">
      <c r="AE864041" s="36"/>
      <c r="AF864041" s="36"/>
    </row>
    <row r="864137" spans="31:32" x14ac:dyDescent="0.25">
      <c r="AE864137" s="34"/>
      <c r="AF864137" s="34"/>
    </row>
    <row r="864145" spans="31:32" x14ac:dyDescent="0.25">
      <c r="AE864145" s="36"/>
      <c r="AF864145" s="36"/>
    </row>
    <row r="864241" spans="31:32" x14ac:dyDescent="0.25">
      <c r="AE864241" s="34"/>
      <c r="AF864241" s="34"/>
    </row>
    <row r="864249" spans="31:32" x14ac:dyDescent="0.25">
      <c r="AE864249" s="36"/>
      <c r="AF864249" s="36"/>
    </row>
    <row r="864345" spans="31:32" x14ac:dyDescent="0.25">
      <c r="AE864345" s="34"/>
      <c r="AF864345" s="34"/>
    </row>
    <row r="864353" spans="31:32" x14ac:dyDescent="0.25">
      <c r="AE864353" s="36"/>
      <c r="AF864353" s="36"/>
    </row>
    <row r="864449" spans="31:32" x14ac:dyDescent="0.25">
      <c r="AE864449" s="34"/>
      <c r="AF864449" s="34"/>
    </row>
    <row r="864457" spans="31:32" x14ac:dyDescent="0.25">
      <c r="AE864457" s="36"/>
      <c r="AF864457" s="36"/>
    </row>
    <row r="864553" spans="31:32" x14ac:dyDescent="0.25">
      <c r="AE864553" s="34"/>
      <c r="AF864553" s="34"/>
    </row>
    <row r="864561" spans="31:32" x14ac:dyDescent="0.25">
      <c r="AE864561" s="36"/>
      <c r="AF864561" s="36"/>
    </row>
    <row r="864657" spans="31:32" x14ac:dyDescent="0.25">
      <c r="AE864657" s="34"/>
      <c r="AF864657" s="34"/>
    </row>
    <row r="864665" spans="31:32" x14ac:dyDescent="0.25">
      <c r="AE864665" s="36"/>
      <c r="AF864665" s="36"/>
    </row>
    <row r="864761" spans="31:32" x14ac:dyDescent="0.25">
      <c r="AE864761" s="34"/>
      <c r="AF864761" s="34"/>
    </row>
    <row r="864769" spans="31:32" x14ac:dyDescent="0.25">
      <c r="AE864769" s="36"/>
      <c r="AF864769" s="36"/>
    </row>
    <row r="864865" spans="31:32" x14ac:dyDescent="0.25">
      <c r="AE864865" s="34"/>
      <c r="AF864865" s="34"/>
    </row>
    <row r="864873" spans="31:32" x14ac:dyDescent="0.25">
      <c r="AE864873" s="36"/>
      <c r="AF864873" s="36"/>
    </row>
    <row r="864969" spans="31:32" x14ac:dyDescent="0.25">
      <c r="AE864969" s="34"/>
      <c r="AF864969" s="34"/>
    </row>
    <row r="864977" spans="31:32" x14ac:dyDescent="0.25">
      <c r="AE864977" s="36"/>
      <c r="AF864977" s="36"/>
    </row>
    <row r="865073" spans="31:32" x14ac:dyDescent="0.25">
      <c r="AE865073" s="34"/>
      <c r="AF865073" s="34"/>
    </row>
    <row r="865081" spans="31:32" x14ac:dyDescent="0.25">
      <c r="AE865081" s="36"/>
      <c r="AF865081" s="36"/>
    </row>
    <row r="865177" spans="31:32" x14ac:dyDescent="0.25">
      <c r="AE865177" s="34"/>
      <c r="AF865177" s="34"/>
    </row>
    <row r="865185" spans="31:32" x14ac:dyDescent="0.25">
      <c r="AE865185" s="36"/>
      <c r="AF865185" s="36"/>
    </row>
    <row r="865281" spans="31:32" x14ac:dyDescent="0.25">
      <c r="AE865281" s="34"/>
      <c r="AF865281" s="34"/>
    </row>
    <row r="865289" spans="31:32" x14ac:dyDescent="0.25">
      <c r="AE865289" s="36"/>
      <c r="AF865289" s="36"/>
    </row>
    <row r="865385" spans="31:32" x14ac:dyDescent="0.25">
      <c r="AE865385" s="34"/>
      <c r="AF865385" s="34"/>
    </row>
    <row r="865393" spans="31:32" x14ac:dyDescent="0.25">
      <c r="AE865393" s="36"/>
      <c r="AF865393" s="36"/>
    </row>
    <row r="865489" spans="31:32" x14ac:dyDescent="0.25">
      <c r="AE865489" s="34"/>
      <c r="AF865489" s="34"/>
    </row>
    <row r="865497" spans="31:32" x14ac:dyDescent="0.25">
      <c r="AE865497" s="36"/>
      <c r="AF865497" s="36"/>
    </row>
    <row r="865593" spans="31:32" x14ac:dyDescent="0.25">
      <c r="AE865593" s="34"/>
      <c r="AF865593" s="34"/>
    </row>
    <row r="865601" spans="31:32" x14ac:dyDescent="0.25">
      <c r="AE865601" s="36"/>
      <c r="AF865601" s="36"/>
    </row>
    <row r="865697" spans="31:32" x14ac:dyDescent="0.25">
      <c r="AE865697" s="34"/>
      <c r="AF865697" s="34"/>
    </row>
    <row r="865705" spans="31:32" x14ac:dyDescent="0.25">
      <c r="AE865705" s="36"/>
      <c r="AF865705" s="36"/>
    </row>
    <row r="865801" spans="31:32" x14ac:dyDescent="0.25">
      <c r="AE865801" s="34"/>
      <c r="AF865801" s="34"/>
    </row>
    <row r="865809" spans="31:32" x14ac:dyDescent="0.25">
      <c r="AE865809" s="36"/>
      <c r="AF865809" s="36"/>
    </row>
    <row r="865905" spans="31:32" x14ac:dyDescent="0.25">
      <c r="AE865905" s="34"/>
      <c r="AF865905" s="34"/>
    </row>
    <row r="865913" spans="31:32" x14ac:dyDescent="0.25">
      <c r="AE865913" s="36"/>
      <c r="AF865913" s="36"/>
    </row>
    <row r="866009" spans="31:32" x14ac:dyDescent="0.25">
      <c r="AE866009" s="34"/>
      <c r="AF866009" s="34"/>
    </row>
    <row r="866017" spans="31:32" x14ac:dyDescent="0.25">
      <c r="AE866017" s="36"/>
      <c r="AF866017" s="36"/>
    </row>
    <row r="866113" spans="31:32" x14ac:dyDescent="0.25">
      <c r="AE866113" s="34"/>
      <c r="AF866113" s="34"/>
    </row>
    <row r="866121" spans="31:32" x14ac:dyDescent="0.25">
      <c r="AE866121" s="36"/>
      <c r="AF866121" s="36"/>
    </row>
    <row r="866217" spans="31:32" x14ac:dyDescent="0.25">
      <c r="AE866217" s="34"/>
      <c r="AF866217" s="34"/>
    </row>
    <row r="866225" spans="31:32" x14ac:dyDescent="0.25">
      <c r="AE866225" s="36"/>
      <c r="AF866225" s="36"/>
    </row>
    <row r="866321" spans="31:32" x14ac:dyDescent="0.25">
      <c r="AE866321" s="34"/>
      <c r="AF866321" s="34"/>
    </row>
    <row r="866329" spans="31:32" x14ac:dyDescent="0.25">
      <c r="AE866329" s="36"/>
      <c r="AF866329" s="36"/>
    </row>
    <row r="866425" spans="31:32" x14ac:dyDescent="0.25">
      <c r="AE866425" s="34"/>
      <c r="AF866425" s="34"/>
    </row>
    <row r="866433" spans="31:32" x14ac:dyDescent="0.25">
      <c r="AE866433" s="36"/>
      <c r="AF866433" s="36"/>
    </row>
    <row r="866529" spans="31:32" x14ac:dyDescent="0.25">
      <c r="AE866529" s="34"/>
      <c r="AF866529" s="34"/>
    </row>
    <row r="866537" spans="31:32" x14ac:dyDescent="0.25">
      <c r="AE866537" s="36"/>
      <c r="AF866537" s="36"/>
    </row>
    <row r="866633" spans="31:32" x14ac:dyDescent="0.25">
      <c r="AE866633" s="34"/>
      <c r="AF866633" s="34"/>
    </row>
    <row r="866641" spans="31:32" x14ac:dyDescent="0.25">
      <c r="AE866641" s="36"/>
      <c r="AF866641" s="36"/>
    </row>
    <row r="866737" spans="31:32" x14ac:dyDescent="0.25">
      <c r="AE866737" s="34"/>
      <c r="AF866737" s="34"/>
    </row>
    <row r="866745" spans="31:32" x14ac:dyDescent="0.25">
      <c r="AE866745" s="36"/>
      <c r="AF866745" s="36"/>
    </row>
    <row r="866841" spans="31:32" x14ac:dyDescent="0.25">
      <c r="AE866841" s="34"/>
      <c r="AF866841" s="34"/>
    </row>
    <row r="866849" spans="31:32" x14ac:dyDescent="0.25">
      <c r="AE866849" s="36"/>
      <c r="AF866849" s="36"/>
    </row>
    <row r="866945" spans="31:32" x14ac:dyDescent="0.25">
      <c r="AE866945" s="34"/>
      <c r="AF866945" s="34"/>
    </row>
    <row r="866953" spans="31:32" x14ac:dyDescent="0.25">
      <c r="AE866953" s="36"/>
      <c r="AF866953" s="36"/>
    </row>
    <row r="867049" spans="31:32" x14ac:dyDescent="0.25">
      <c r="AE867049" s="34"/>
      <c r="AF867049" s="34"/>
    </row>
    <row r="867057" spans="31:32" x14ac:dyDescent="0.25">
      <c r="AE867057" s="36"/>
      <c r="AF867057" s="36"/>
    </row>
    <row r="867153" spans="31:32" x14ac:dyDescent="0.25">
      <c r="AE867153" s="34"/>
      <c r="AF867153" s="34"/>
    </row>
    <row r="867161" spans="31:32" x14ac:dyDescent="0.25">
      <c r="AE867161" s="36"/>
      <c r="AF867161" s="36"/>
    </row>
    <row r="867257" spans="31:32" x14ac:dyDescent="0.25">
      <c r="AE867257" s="34"/>
      <c r="AF867257" s="34"/>
    </row>
    <row r="867265" spans="31:32" x14ac:dyDescent="0.25">
      <c r="AE867265" s="36"/>
      <c r="AF867265" s="36"/>
    </row>
    <row r="867361" spans="31:32" x14ac:dyDescent="0.25">
      <c r="AE867361" s="34"/>
      <c r="AF867361" s="34"/>
    </row>
    <row r="867369" spans="31:32" x14ac:dyDescent="0.25">
      <c r="AE867369" s="36"/>
      <c r="AF867369" s="36"/>
    </row>
    <row r="867465" spans="31:32" x14ac:dyDescent="0.25">
      <c r="AE867465" s="34"/>
      <c r="AF867465" s="34"/>
    </row>
    <row r="867473" spans="31:32" x14ac:dyDescent="0.25">
      <c r="AE867473" s="36"/>
      <c r="AF867473" s="36"/>
    </row>
    <row r="867569" spans="31:32" x14ac:dyDescent="0.25">
      <c r="AE867569" s="34"/>
      <c r="AF867569" s="34"/>
    </row>
    <row r="867577" spans="31:32" x14ac:dyDescent="0.25">
      <c r="AE867577" s="36"/>
      <c r="AF867577" s="36"/>
    </row>
    <row r="867673" spans="31:32" x14ac:dyDescent="0.25">
      <c r="AE867673" s="34"/>
      <c r="AF867673" s="34"/>
    </row>
    <row r="867681" spans="31:32" x14ac:dyDescent="0.25">
      <c r="AE867681" s="36"/>
      <c r="AF867681" s="36"/>
    </row>
    <row r="867777" spans="31:32" x14ac:dyDescent="0.25">
      <c r="AE867777" s="34"/>
      <c r="AF867777" s="34"/>
    </row>
    <row r="867785" spans="31:32" x14ac:dyDescent="0.25">
      <c r="AE867785" s="36"/>
      <c r="AF867785" s="36"/>
    </row>
    <row r="867881" spans="31:32" x14ac:dyDescent="0.25">
      <c r="AE867881" s="34"/>
      <c r="AF867881" s="34"/>
    </row>
    <row r="867889" spans="31:32" x14ac:dyDescent="0.25">
      <c r="AE867889" s="36"/>
      <c r="AF867889" s="36"/>
    </row>
    <row r="867985" spans="31:32" x14ac:dyDescent="0.25">
      <c r="AE867985" s="34"/>
      <c r="AF867985" s="34"/>
    </row>
    <row r="867993" spans="31:32" x14ac:dyDescent="0.25">
      <c r="AE867993" s="36"/>
      <c r="AF867993" s="36"/>
    </row>
    <row r="868089" spans="31:32" x14ac:dyDescent="0.25">
      <c r="AE868089" s="34"/>
      <c r="AF868089" s="34"/>
    </row>
    <row r="868097" spans="31:32" x14ac:dyDescent="0.25">
      <c r="AE868097" s="36"/>
      <c r="AF868097" s="36"/>
    </row>
    <row r="868193" spans="31:32" x14ac:dyDescent="0.25">
      <c r="AE868193" s="34"/>
      <c r="AF868193" s="34"/>
    </row>
    <row r="868201" spans="31:32" x14ac:dyDescent="0.25">
      <c r="AE868201" s="36"/>
      <c r="AF868201" s="36"/>
    </row>
    <row r="868297" spans="31:32" x14ac:dyDescent="0.25">
      <c r="AE868297" s="34"/>
      <c r="AF868297" s="34"/>
    </row>
    <row r="868305" spans="31:32" x14ac:dyDescent="0.25">
      <c r="AE868305" s="36"/>
      <c r="AF868305" s="36"/>
    </row>
    <row r="868401" spans="31:32" x14ac:dyDescent="0.25">
      <c r="AE868401" s="34"/>
      <c r="AF868401" s="34"/>
    </row>
    <row r="868409" spans="31:32" x14ac:dyDescent="0.25">
      <c r="AE868409" s="36"/>
      <c r="AF868409" s="36"/>
    </row>
    <row r="868505" spans="31:32" x14ac:dyDescent="0.25">
      <c r="AE868505" s="34"/>
      <c r="AF868505" s="34"/>
    </row>
    <row r="868513" spans="31:32" x14ac:dyDescent="0.25">
      <c r="AE868513" s="36"/>
      <c r="AF868513" s="36"/>
    </row>
    <row r="868609" spans="31:32" x14ac:dyDescent="0.25">
      <c r="AE868609" s="34"/>
      <c r="AF868609" s="34"/>
    </row>
    <row r="868617" spans="31:32" x14ac:dyDescent="0.25">
      <c r="AE868617" s="36"/>
      <c r="AF868617" s="36"/>
    </row>
    <row r="868713" spans="31:32" x14ac:dyDescent="0.25">
      <c r="AE868713" s="34"/>
      <c r="AF868713" s="34"/>
    </row>
    <row r="868721" spans="31:32" x14ac:dyDescent="0.25">
      <c r="AE868721" s="36"/>
      <c r="AF868721" s="36"/>
    </row>
    <row r="868817" spans="31:32" x14ac:dyDescent="0.25">
      <c r="AE868817" s="34"/>
      <c r="AF868817" s="34"/>
    </row>
    <row r="868825" spans="31:32" x14ac:dyDescent="0.25">
      <c r="AE868825" s="36"/>
      <c r="AF868825" s="36"/>
    </row>
    <row r="868921" spans="31:32" x14ac:dyDescent="0.25">
      <c r="AE868921" s="34"/>
      <c r="AF868921" s="34"/>
    </row>
    <row r="868929" spans="31:32" x14ac:dyDescent="0.25">
      <c r="AE868929" s="36"/>
      <c r="AF868929" s="36"/>
    </row>
    <row r="869025" spans="31:32" x14ac:dyDescent="0.25">
      <c r="AE869025" s="34"/>
      <c r="AF869025" s="34"/>
    </row>
    <row r="869033" spans="31:32" x14ac:dyDescent="0.25">
      <c r="AE869033" s="36"/>
      <c r="AF869033" s="36"/>
    </row>
    <row r="869129" spans="31:32" x14ac:dyDescent="0.25">
      <c r="AE869129" s="34"/>
      <c r="AF869129" s="34"/>
    </row>
    <row r="869137" spans="31:32" x14ac:dyDescent="0.25">
      <c r="AE869137" s="36"/>
      <c r="AF869137" s="36"/>
    </row>
    <row r="869233" spans="31:32" x14ac:dyDescent="0.25">
      <c r="AE869233" s="34"/>
      <c r="AF869233" s="34"/>
    </row>
    <row r="869241" spans="31:32" x14ac:dyDescent="0.25">
      <c r="AE869241" s="36"/>
      <c r="AF869241" s="36"/>
    </row>
    <row r="869337" spans="31:32" x14ac:dyDescent="0.25">
      <c r="AE869337" s="34"/>
      <c r="AF869337" s="34"/>
    </row>
    <row r="869345" spans="31:32" x14ac:dyDescent="0.25">
      <c r="AE869345" s="36"/>
      <c r="AF869345" s="36"/>
    </row>
    <row r="869441" spans="31:32" x14ac:dyDescent="0.25">
      <c r="AE869441" s="34"/>
      <c r="AF869441" s="34"/>
    </row>
    <row r="869449" spans="31:32" x14ac:dyDescent="0.25">
      <c r="AE869449" s="36"/>
      <c r="AF869449" s="36"/>
    </row>
    <row r="869545" spans="31:32" x14ac:dyDescent="0.25">
      <c r="AE869545" s="34"/>
      <c r="AF869545" s="34"/>
    </row>
    <row r="869553" spans="31:32" x14ac:dyDescent="0.25">
      <c r="AE869553" s="36"/>
      <c r="AF869553" s="36"/>
    </row>
    <row r="869649" spans="31:32" x14ac:dyDescent="0.25">
      <c r="AE869649" s="34"/>
      <c r="AF869649" s="34"/>
    </row>
    <row r="869657" spans="31:32" x14ac:dyDescent="0.25">
      <c r="AE869657" s="36"/>
      <c r="AF869657" s="36"/>
    </row>
    <row r="869753" spans="31:32" x14ac:dyDescent="0.25">
      <c r="AE869753" s="34"/>
      <c r="AF869753" s="34"/>
    </row>
    <row r="869761" spans="31:32" x14ac:dyDescent="0.25">
      <c r="AE869761" s="36"/>
      <c r="AF869761" s="36"/>
    </row>
    <row r="869857" spans="31:32" x14ac:dyDescent="0.25">
      <c r="AE869857" s="34"/>
      <c r="AF869857" s="34"/>
    </row>
    <row r="869865" spans="31:32" x14ac:dyDescent="0.25">
      <c r="AE869865" s="36"/>
      <c r="AF869865" s="36"/>
    </row>
    <row r="869961" spans="31:32" x14ac:dyDescent="0.25">
      <c r="AE869961" s="34"/>
      <c r="AF869961" s="34"/>
    </row>
    <row r="869969" spans="31:32" x14ac:dyDescent="0.25">
      <c r="AE869969" s="36"/>
      <c r="AF869969" s="36"/>
    </row>
    <row r="870065" spans="31:32" x14ac:dyDescent="0.25">
      <c r="AE870065" s="34"/>
      <c r="AF870065" s="34"/>
    </row>
    <row r="870073" spans="31:32" x14ac:dyDescent="0.25">
      <c r="AE870073" s="36"/>
      <c r="AF870073" s="36"/>
    </row>
    <row r="870169" spans="31:32" x14ac:dyDescent="0.25">
      <c r="AE870169" s="34"/>
      <c r="AF870169" s="34"/>
    </row>
    <row r="870177" spans="31:32" x14ac:dyDescent="0.25">
      <c r="AE870177" s="36"/>
      <c r="AF870177" s="36"/>
    </row>
    <row r="870273" spans="31:32" x14ac:dyDescent="0.25">
      <c r="AE870273" s="34"/>
      <c r="AF870273" s="34"/>
    </row>
    <row r="870281" spans="31:32" x14ac:dyDescent="0.25">
      <c r="AE870281" s="36"/>
      <c r="AF870281" s="36"/>
    </row>
    <row r="870377" spans="31:32" x14ac:dyDescent="0.25">
      <c r="AE870377" s="34"/>
      <c r="AF870377" s="34"/>
    </row>
    <row r="870385" spans="31:32" x14ac:dyDescent="0.25">
      <c r="AE870385" s="36"/>
      <c r="AF870385" s="36"/>
    </row>
    <row r="870481" spans="31:32" x14ac:dyDescent="0.25">
      <c r="AE870481" s="34"/>
      <c r="AF870481" s="34"/>
    </row>
    <row r="870489" spans="31:32" x14ac:dyDescent="0.25">
      <c r="AE870489" s="36"/>
      <c r="AF870489" s="36"/>
    </row>
    <row r="870585" spans="31:32" x14ac:dyDescent="0.25">
      <c r="AE870585" s="34"/>
      <c r="AF870585" s="34"/>
    </row>
    <row r="870593" spans="31:32" x14ac:dyDescent="0.25">
      <c r="AE870593" s="36"/>
      <c r="AF870593" s="36"/>
    </row>
    <row r="870689" spans="31:32" x14ac:dyDescent="0.25">
      <c r="AE870689" s="34"/>
      <c r="AF870689" s="34"/>
    </row>
    <row r="870697" spans="31:32" x14ac:dyDescent="0.25">
      <c r="AE870697" s="36"/>
      <c r="AF870697" s="36"/>
    </row>
    <row r="870793" spans="31:32" x14ac:dyDescent="0.25">
      <c r="AE870793" s="34"/>
      <c r="AF870793" s="34"/>
    </row>
    <row r="870801" spans="31:32" x14ac:dyDescent="0.25">
      <c r="AE870801" s="36"/>
      <c r="AF870801" s="36"/>
    </row>
    <row r="870897" spans="31:32" x14ac:dyDescent="0.25">
      <c r="AE870897" s="34"/>
      <c r="AF870897" s="34"/>
    </row>
    <row r="870905" spans="31:32" x14ac:dyDescent="0.25">
      <c r="AE870905" s="36"/>
      <c r="AF870905" s="36"/>
    </row>
    <row r="871001" spans="31:32" x14ac:dyDescent="0.25">
      <c r="AE871001" s="34"/>
      <c r="AF871001" s="34"/>
    </row>
    <row r="871009" spans="31:32" x14ac:dyDescent="0.25">
      <c r="AE871009" s="36"/>
      <c r="AF871009" s="36"/>
    </row>
    <row r="871105" spans="31:32" x14ac:dyDescent="0.25">
      <c r="AE871105" s="34"/>
      <c r="AF871105" s="34"/>
    </row>
    <row r="871113" spans="31:32" x14ac:dyDescent="0.25">
      <c r="AE871113" s="36"/>
      <c r="AF871113" s="36"/>
    </row>
    <row r="871209" spans="31:32" x14ac:dyDescent="0.25">
      <c r="AE871209" s="34"/>
      <c r="AF871209" s="34"/>
    </row>
    <row r="871217" spans="31:32" x14ac:dyDescent="0.25">
      <c r="AE871217" s="36"/>
      <c r="AF871217" s="36"/>
    </row>
    <row r="871313" spans="31:32" x14ac:dyDescent="0.25">
      <c r="AE871313" s="34"/>
      <c r="AF871313" s="34"/>
    </row>
    <row r="871321" spans="31:32" x14ac:dyDescent="0.25">
      <c r="AE871321" s="36"/>
      <c r="AF871321" s="36"/>
    </row>
    <row r="871417" spans="31:32" x14ac:dyDescent="0.25">
      <c r="AE871417" s="34"/>
      <c r="AF871417" s="34"/>
    </row>
    <row r="871425" spans="31:32" x14ac:dyDescent="0.25">
      <c r="AE871425" s="36"/>
      <c r="AF871425" s="36"/>
    </row>
    <row r="871521" spans="31:32" x14ac:dyDescent="0.25">
      <c r="AE871521" s="34"/>
      <c r="AF871521" s="34"/>
    </row>
    <row r="871529" spans="31:32" x14ac:dyDescent="0.25">
      <c r="AE871529" s="36"/>
      <c r="AF871529" s="36"/>
    </row>
    <row r="871625" spans="31:32" x14ac:dyDescent="0.25">
      <c r="AE871625" s="34"/>
      <c r="AF871625" s="34"/>
    </row>
    <row r="871633" spans="31:32" x14ac:dyDescent="0.25">
      <c r="AE871633" s="36"/>
      <c r="AF871633" s="36"/>
    </row>
    <row r="871729" spans="31:32" x14ac:dyDescent="0.25">
      <c r="AE871729" s="34"/>
      <c r="AF871729" s="34"/>
    </row>
    <row r="871737" spans="31:32" x14ac:dyDescent="0.25">
      <c r="AE871737" s="36"/>
      <c r="AF871737" s="36"/>
    </row>
    <row r="871833" spans="31:32" x14ac:dyDescent="0.25">
      <c r="AE871833" s="34"/>
      <c r="AF871833" s="34"/>
    </row>
    <row r="871841" spans="31:32" x14ac:dyDescent="0.25">
      <c r="AE871841" s="36"/>
      <c r="AF871841" s="36"/>
    </row>
    <row r="871937" spans="31:32" x14ac:dyDescent="0.25">
      <c r="AE871937" s="34"/>
      <c r="AF871937" s="34"/>
    </row>
    <row r="871945" spans="31:32" x14ac:dyDescent="0.25">
      <c r="AE871945" s="36"/>
      <c r="AF871945" s="36"/>
    </row>
    <row r="872041" spans="31:32" x14ac:dyDescent="0.25">
      <c r="AE872041" s="34"/>
      <c r="AF872041" s="34"/>
    </row>
    <row r="872049" spans="31:32" x14ac:dyDescent="0.25">
      <c r="AE872049" s="36"/>
      <c r="AF872049" s="36"/>
    </row>
    <row r="872145" spans="31:32" x14ac:dyDescent="0.25">
      <c r="AE872145" s="34"/>
      <c r="AF872145" s="34"/>
    </row>
    <row r="872153" spans="31:32" x14ac:dyDescent="0.25">
      <c r="AE872153" s="36"/>
      <c r="AF872153" s="36"/>
    </row>
    <row r="872249" spans="31:32" x14ac:dyDescent="0.25">
      <c r="AE872249" s="34"/>
      <c r="AF872249" s="34"/>
    </row>
    <row r="872257" spans="31:32" x14ac:dyDescent="0.25">
      <c r="AE872257" s="36"/>
      <c r="AF872257" s="36"/>
    </row>
    <row r="872353" spans="31:32" x14ac:dyDescent="0.25">
      <c r="AE872353" s="34"/>
      <c r="AF872353" s="34"/>
    </row>
    <row r="872361" spans="31:32" x14ac:dyDescent="0.25">
      <c r="AE872361" s="36"/>
      <c r="AF872361" s="36"/>
    </row>
    <row r="872457" spans="31:32" x14ac:dyDescent="0.25">
      <c r="AE872457" s="34"/>
      <c r="AF872457" s="34"/>
    </row>
    <row r="872465" spans="31:32" x14ac:dyDescent="0.25">
      <c r="AE872465" s="36"/>
      <c r="AF872465" s="36"/>
    </row>
    <row r="872561" spans="31:32" x14ac:dyDescent="0.25">
      <c r="AE872561" s="34"/>
      <c r="AF872561" s="34"/>
    </row>
    <row r="872569" spans="31:32" x14ac:dyDescent="0.25">
      <c r="AE872569" s="36"/>
      <c r="AF872569" s="36"/>
    </row>
    <row r="872665" spans="31:32" x14ac:dyDescent="0.25">
      <c r="AE872665" s="34"/>
      <c r="AF872665" s="34"/>
    </row>
    <row r="872673" spans="31:32" x14ac:dyDescent="0.25">
      <c r="AE872673" s="36"/>
      <c r="AF872673" s="36"/>
    </row>
    <row r="872769" spans="31:32" x14ac:dyDescent="0.25">
      <c r="AE872769" s="34"/>
      <c r="AF872769" s="34"/>
    </row>
    <row r="872777" spans="31:32" x14ac:dyDescent="0.25">
      <c r="AE872777" s="36"/>
      <c r="AF872777" s="36"/>
    </row>
    <row r="872873" spans="31:32" x14ac:dyDescent="0.25">
      <c r="AE872873" s="34"/>
      <c r="AF872873" s="34"/>
    </row>
    <row r="872881" spans="31:32" x14ac:dyDescent="0.25">
      <c r="AE872881" s="36"/>
      <c r="AF872881" s="36"/>
    </row>
    <row r="872977" spans="31:32" x14ac:dyDescent="0.25">
      <c r="AE872977" s="34"/>
      <c r="AF872977" s="34"/>
    </row>
    <row r="872985" spans="31:32" x14ac:dyDescent="0.25">
      <c r="AE872985" s="36"/>
      <c r="AF872985" s="36"/>
    </row>
    <row r="873081" spans="31:32" x14ac:dyDescent="0.25">
      <c r="AE873081" s="34"/>
      <c r="AF873081" s="34"/>
    </row>
    <row r="873089" spans="31:32" x14ac:dyDescent="0.25">
      <c r="AE873089" s="36"/>
      <c r="AF873089" s="36"/>
    </row>
    <row r="873185" spans="31:32" x14ac:dyDescent="0.25">
      <c r="AE873185" s="34"/>
      <c r="AF873185" s="34"/>
    </row>
    <row r="873193" spans="31:32" x14ac:dyDescent="0.25">
      <c r="AE873193" s="36"/>
      <c r="AF873193" s="36"/>
    </row>
    <row r="873289" spans="31:32" x14ac:dyDescent="0.25">
      <c r="AE873289" s="34"/>
      <c r="AF873289" s="34"/>
    </row>
    <row r="873297" spans="31:32" x14ac:dyDescent="0.25">
      <c r="AE873297" s="36"/>
      <c r="AF873297" s="36"/>
    </row>
    <row r="873393" spans="31:32" x14ac:dyDescent="0.25">
      <c r="AE873393" s="34"/>
      <c r="AF873393" s="34"/>
    </row>
    <row r="873401" spans="31:32" x14ac:dyDescent="0.25">
      <c r="AE873401" s="36"/>
      <c r="AF873401" s="36"/>
    </row>
    <row r="873497" spans="31:32" x14ac:dyDescent="0.25">
      <c r="AE873497" s="34"/>
      <c r="AF873497" s="34"/>
    </row>
    <row r="873505" spans="31:32" x14ac:dyDescent="0.25">
      <c r="AE873505" s="36"/>
      <c r="AF873505" s="36"/>
    </row>
    <row r="873601" spans="31:32" x14ac:dyDescent="0.25">
      <c r="AE873601" s="34"/>
      <c r="AF873601" s="34"/>
    </row>
    <row r="873609" spans="31:32" x14ac:dyDescent="0.25">
      <c r="AE873609" s="36"/>
      <c r="AF873609" s="36"/>
    </row>
    <row r="873705" spans="31:32" x14ac:dyDescent="0.25">
      <c r="AE873705" s="34"/>
      <c r="AF873705" s="34"/>
    </row>
    <row r="873713" spans="31:32" x14ac:dyDescent="0.25">
      <c r="AE873713" s="36"/>
      <c r="AF873713" s="36"/>
    </row>
    <row r="873809" spans="31:32" x14ac:dyDescent="0.25">
      <c r="AE873809" s="34"/>
      <c r="AF873809" s="34"/>
    </row>
    <row r="873817" spans="31:32" x14ac:dyDescent="0.25">
      <c r="AE873817" s="36"/>
      <c r="AF873817" s="36"/>
    </row>
    <row r="873913" spans="31:32" x14ac:dyDescent="0.25">
      <c r="AE873913" s="34"/>
      <c r="AF873913" s="34"/>
    </row>
    <row r="873921" spans="31:32" x14ac:dyDescent="0.25">
      <c r="AE873921" s="36"/>
      <c r="AF873921" s="36"/>
    </row>
    <row r="874017" spans="31:32" x14ac:dyDescent="0.25">
      <c r="AE874017" s="34"/>
      <c r="AF874017" s="34"/>
    </row>
    <row r="874025" spans="31:32" x14ac:dyDescent="0.25">
      <c r="AE874025" s="36"/>
      <c r="AF874025" s="36"/>
    </row>
    <row r="874121" spans="31:32" x14ac:dyDescent="0.25">
      <c r="AE874121" s="34"/>
      <c r="AF874121" s="34"/>
    </row>
    <row r="874129" spans="31:32" x14ac:dyDescent="0.25">
      <c r="AE874129" s="36"/>
      <c r="AF874129" s="36"/>
    </row>
    <row r="874225" spans="31:32" x14ac:dyDescent="0.25">
      <c r="AE874225" s="34"/>
      <c r="AF874225" s="34"/>
    </row>
    <row r="874233" spans="31:32" x14ac:dyDescent="0.25">
      <c r="AE874233" s="36"/>
      <c r="AF874233" s="36"/>
    </row>
    <row r="874329" spans="31:32" x14ac:dyDescent="0.25">
      <c r="AE874329" s="34"/>
      <c r="AF874329" s="34"/>
    </row>
    <row r="874337" spans="31:32" x14ac:dyDescent="0.25">
      <c r="AE874337" s="36"/>
      <c r="AF874337" s="36"/>
    </row>
    <row r="874433" spans="31:32" x14ac:dyDescent="0.25">
      <c r="AE874433" s="34"/>
      <c r="AF874433" s="34"/>
    </row>
    <row r="874441" spans="31:32" x14ac:dyDescent="0.25">
      <c r="AE874441" s="36"/>
      <c r="AF874441" s="36"/>
    </row>
    <row r="874537" spans="31:32" x14ac:dyDescent="0.25">
      <c r="AE874537" s="34"/>
      <c r="AF874537" s="34"/>
    </row>
    <row r="874545" spans="31:32" x14ac:dyDescent="0.25">
      <c r="AE874545" s="36"/>
      <c r="AF874545" s="36"/>
    </row>
    <row r="874641" spans="31:32" x14ac:dyDescent="0.25">
      <c r="AE874641" s="34"/>
      <c r="AF874641" s="34"/>
    </row>
    <row r="874649" spans="31:32" x14ac:dyDescent="0.25">
      <c r="AE874649" s="36"/>
      <c r="AF874649" s="36"/>
    </row>
    <row r="874745" spans="31:32" x14ac:dyDescent="0.25">
      <c r="AE874745" s="34"/>
      <c r="AF874745" s="34"/>
    </row>
    <row r="874753" spans="31:32" x14ac:dyDescent="0.25">
      <c r="AE874753" s="36"/>
      <c r="AF874753" s="36"/>
    </row>
    <row r="874849" spans="31:32" x14ac:dyDescent="0.25">
      <c r="AE874849" s="34"/>
      <c r="AF874849" s="34"/>
    </row>
    <row r="874857" spans="31:32" x14ac:dyDescent="0.25">
      <c r="AE874857" s="36"/>
      <c r="AF874857" s="36"/>
    </row>
    <row r="874953" spans="31:32" x14ac:dyDescent="0.25">
      <c r="AE874953" s="34"/>
      <c r="AF874953" s="34"/>
    </row>
    <row r="874961" spans="31:32" x14ac:dyDescent="0.25">
      <c r="AE874961" s="36"/>
      <c r="AF874961" s="36"/>
    </row>
    <row r="875057" spans="31:32" x14ac:dyDescent="0.25">
      <c r="AE875057" s="34"/>
      <c r="AF875057" s="34"/>
    </row>
    <row r="875065" spans="31:32" x14ac:dyDescent="0.25">
      <c r="AE875065" s="36"/>
      <c r="AF875065" s="36"/>
    </row>
    <row r="875161" spans="31:32" x14ac:dyDescent="0.25">
      <c r="AE875161" s="34"/>
      <c r="AF875161" s="34"/>
    </row>
    <row r="875169" spans="31:32" x14ac:dyDescent="0.25">
      <c r="AE875169" s="36"/>
      <c r="AF875169" s="36"/>
    </row>
    <row r="875265" spans="31:32" x14ac:dyDescent="0.25">
      <c r="AE875265" s="34"/>
      <c r="AF875265" s="34"/>
    </row>
    <row r="875273" spans="31:32" x14ac:dyDescent="0.25">
      <c r="AE875273" s="36"/>
      <c r="AF875273" s="36"/>
    </row>
    <row r="875369" spans="31:32" x14ac:dyDescent="0.25">
      <c r="AE875369" s="34"/>
      <c r="AF875369" s="34"/>
    </row>
    <row r="875377" spans="31:32" x14ac:dyDescent="0.25">
      <c r="AE875377" s="36"/>
      <c r="AF875377" s="36"/>
    </row>
    <row r="875473" spans="31:32" x14ac:dyDescent="0.25">
      <c r="AE875473" s="34"/>
      <c r="AF875473" s="34"/>
    </row>
    <row r="875481" spans="31:32" x14ac:dyDescent="0.25">
      <c r="AE875481" s="36"/>
      <c r="AF875481" s="36"/>
    </row>
    <row r="875577" spans="31:32" x14ac:dyDescent="0.25">
      <c r="AE875577" s="34"/>
      <c r="AF875577" s="34"/>
    </row>
    <row r="875585" spans="31:32" x14ac:dyDescent="0.25">
      <c r="AE875585" s="36"/>
      <c r="AF875585" s="36"/>
    </row>
    <row r="875681" spans="31:32" x14ac:dyDescent="0.25">
      <c r="AE875681" s="34"/>
      <c r="AF875681" s="34"/>
    </row>
    <row r="875689" spans="31:32" x14ac:dyDescent="0.25">
      <c r="AE875689" s="36"/>
      <c r="AF875689" s="36"/>
    </row>
    <row r="875785" spans="31:32" x14ac:dyDescent="0.25">
      <c r="AE875785" s="34"/>
      <c r="AF875785" s="34"/>
    </row>
    <row r="875793" spans="31:32" x14ac:dyDescent="0.25">
      <c r="AE875793" s="36"/>
      <c r="AF875793" s="36"/>
    </row>
    <row r="875889" spans="31:32" x14ac:dyDescent="0.25">
      <c r="AE875889" s="34"/>
      <c r="AF875889" s="34"/>
    </row>
    <row r="875897" spans="31:32" x14ac:dyDescent="0.25">
      <c r="AE875897" s="36"/>
      <c r="AF875897" s="36"/>
    </row>
    <row r="875993" spans="31:32" x14ac:dyDescent="0.25">
      <c r="AE875993" s="34"/>
      <c r="AF875993" s="34"/>
    </row>
    <row r="876001" spans="31:32" x14ac:dyDescent="0.25">
      <c r="AE876001" s="36"/>
      <c r="AF876001" s="36"/>
    </row>
    <row r="876097" spans="31:32" x14ac:dyDescent="0.25">
      <c r="AE876097" s="34"/>
      <c r="AF876097" s="34"/>
    </row>
    <row r="876105" spans="31:32" x14ac:dyDescent="0.25">
      <c r="AE876105" s="36"/>
      <c r="AF876105" s="36"/>
    </row>
    <row r="876201" spans="31:32" x14ac:dyDescent="0.25">
      <c r="AE876201" s="34"/>
      <c r="AF876201" s="34"/>
    </row>
    <row r="876209" spans="31:32" x14ac:dyDescent="0.25">
      <c r="AE876209" s="36"/>
      <c r="AF876209" s="36"/>
    </row>
    <row r="876305" spans="31:32" x14ac:dyDescent="0.25">
      <c r="AE876305" s="34"/>
      <c r="AF876305" s="34"/>
    </row>
    <row r="876313" spans="31:32" x14ac:dyDescent="0.25">
      <c r="AE876313" s="36"/>
      <c r="AF876313" s="36"/>
    </row>
    <row r="876409" spans="31:32" x14ac:dyDescent="0.25">
      <c r="AE876409" s="34"/>
      <c r="AF876409" s="34"/>
    </row>
    <row r="876417" spans="31:32" x14ac:dyDescent="0.25">
      <c r="AE876417" s="36"/>
      <c r="AF876417" s="36"/>
    </row>
    <row r="876513" spans="31:32" x14ac:dyDescent="0.25">
      <c r="AE876513" s="34"/>
      <c r="AF876513" s="34"/>
    </row>
    <row r="876521" spans="31:32" x14ac:dyDescent="0.25">
      <c r="AE876521" s="36"/>
      <c r="AF876521" s="36"/>
    </row>
    <row r="876617" spans="31:32" x14ac:dyDescent="0.25">
      <c r="AE876617" s="34"/>
      <c r="AF876617" s="34"/>
    </row>
    <row r="876625" spans="31:32" x14ac:dyDescent="0.25">
      <c r="AE876625" s="36"/>
      <c r="AF876625" s="36"/>
    </row>
    <row r="876721" spans="31:32" x14ac:dyDescent="0.25">
      <c r="AE876721" s="34"/>
      <c r="AF876721" s="34"/>
    </row>
    <row r="876729" spans="31:32" x14ac:dyDescent="0.25">
      <c r="AE876729" s="36"/>
      <c r="AF876729" s="36"/>
    </row>
    <row r="876825" spans="31:32" x14ac:dyDescent="0.25">
      <c r="AE876825" s="34"/>
      <c r="AF876825" s="34"/>
    </row>
    <row r="876833" spans="31:32" x14ac:dyDescent="0.25">
      <c r="AE876833" s="36"/>
      <c r="AF876833" s="36"/>
    </row>
    <row r="876929" spans="31:32" x14ac:dyDescent="0.25">
      <c r="AE876929" s="34"/>
      <c r="AF876929" s="34"/>
    </row>
    <row r="876937" spans="31:32" x14ac:dyDescent="0.25">
      <c r="AE876937" s="36"/>
      <c r="AF876937" s="36"/>
    </row>
    <row r="877033" spans="31:32" x14ac:dyDescent="0.25">
      <c r="AE877033" s="34"/>
      <c r="AF877033" s="34"/>
    </row>
    <row r="877041" spans="31:32" x14ac:dyDescent="0.25">
      <c r="AE877041" s="36"/>
      <c r="AF877041" s="36"/>
    </row>
    <row r="877137" spans="31:32" x14ac:dyDescent="0.25">
      <c r="AE877137" s="34"/>
      <c r="AF877137" s="34"/>
    </row>
    <row r="877145" spans="31:32" x14ac:dyDescent="0.25">
      <c r="AE877145" s="36"/>
      <c r="AF877145" s="36"/>
    </row>
    <row r="877241" spans="31:32" x14ac:dyDescent="0.25">
      <c r="AE877241" s="34"/>
      <c r="AF877241" s="34"/>
    </row>
    <row r="877249" spans="31:32" x14ac:dyDescent="0.25">
      <c r="AE877249" s="36"/>
      <c r="AF877249" s="36"/>
    </row>
    <row r="877345" spans="31:32" x14ac:dyDescent="0.25">
      <c r="AE877345" s="34"/>
      <c r="AF877345" s="34"/>
    </row>
    <row r="877353" spans="31:32" x14ac:dyDescent="0.25">
      <c r="AE877353" s="36"/>
      <c r="AF877353" s="36"/>
    </row>
    <row r="877449" spans="31:32" x14ac:dyDescent="0.25">
      <c r="AE877449" s="34"/>
      <c r="AF877449" s="34"/>
    </row>
    <row r="877457" spans="31:32" x14ac:dyDescent="0.25">
      <c r="AE877457" s="36"/>
      <c r="AF877457" s="36"/>
    </row>
    <row r="877553" spans="31:32" x14ac:dyDescent="0.25">
      <c r="AE877553" s="34"/>
      <c r="AF877553" s="34"/>
    </row>
    <row r="877561" spans="31:32" x14ac:dyDescent="0.25">
      <c r="AE877561" s="36"/>
      <c r="AF877561" s="36"/>
    </row>
    <row r="877657" spans="31:32" x14ac:dyDescent="0.25">
      <c r="AE877657" s="34"/>
      <c r="AF877657" s="34"/>
    </row>
    <row r="877665" spans="31:32" x14ac:dyDescent="0.25">
      <c r="AE877665" s="36"/>
      <c r="AF877665" s="36"/>
    </row>
    <row r="877761" spans="31:32" x14ac:dyDescent="0.25">
      <c r="AE877761" s="34"/>
      <c r="AF877761" s="34"/>
    </row>
    <row r="877769" spans="31:32" x14ac:dyDescent="0.25">
      <c r="AE877769" s="36"/>
      <c r="AF877769" s="36"/>
    </row>
    <row r="877865" spans="31:32" x14ac:dyDescent="0.25">
      <c r="AE877865" s="34"/>
      <c r="AF877865" s="34"/>
    </row>
    <row r="877873" spans="31:32" x14ac:dyDescent="0.25">
      <c r="AE877873" s="36"/>
      <c r="AF877873" s="36"/>
    </row>
    <row r="877969" spans="31:32" x14ac:dyDescent="0.25">
      <c r="AE877969" s="34"/>
      <c r="AF877969" s="34"/>
    </row>
    <row r="877977" spans="31:32" x14ac:dyDescent="0.25">
      <c r="AE877977" s="36"/>
      <c r="AF877977" s="36"/>
    </row>
    <row r="878073" spans="31:32" x14ac:dyDescent="0.25">
      <c r="AE878073" s="34"/>
      <c r="AF878073" s="34"/>
    </row>
    <row r="878081" spans="31:32" x14ac:dyDescent="0.25">
      <c r="AE878081" s="36"/>
      <c r="AF878081" s="36"/>
    </row>
    <row r="878177" spans="31:32" x14ac:dyDescent="0.25">
      <c r="AE878177" s="34"/>
      <c r="AF878177" s="34"/>
    </row>
    <row r="878185" spans="31:32" x14ac:dyDescent="0.25">
      <c r="AE878185" s="36"/>
      <c r="AF878185" s="36"/>
    </row>
    <row r="878281" spans="31:32" x14ac:dyDescent="0.25">
      <c r="AE878281" s="34"/>
      <c r="AF878281" s="34"/>
    </row>
    <row r="878289" spans="31:32" x14ac:dyDescent="0.25">
      <c r="AE878289" s="36"/>
      <c r="AF878289" s="36"/>
    </row>
    <row r="878385" spans="31:32" x14ac:dyDescent="0.25">
      <c r="AE878385" s="34"/>
      <c r="AF878385" s="34"/>
    </row>
    <row r="878393" spans="31:32" x14ac:dyDescent="0.25">
      <c r="AE878393" s="36"/>
      <c r="AF878393" s="36"/>
    </row>
    <row r="878489" spans="31:32" x14ac:dyDescent="0.25">
      <c r="AE878489" s="34"/>
      <c r="AF878489" s="34"/>
    </row>
    <row r="878497" spans="31:32" x14ac:dyDescent="0.25">
      <c r="AE878497" s="36"/>
      <c r="AF878497" s="36"/>
    </row>
    <row r="878593" spans="31:32" x14ac:dyDescent="0.25">
      <c r="AE878593" s="34"/>
      <c r="AF878593" s="34"/>
    </row>
    <row r="878601" spans="31:32" x14ac:dyDescent="0.25">
      <c r="AE878601" s="36"/>
      <c r="AF878601" s="36"/>
    </row>
    <row r="878697" spans="31:32" x14ac:dyDescent="0.25">
      <c r="AE878697" s="34"/>
      <c r="AF878697" s="34"/>
    </row>
    <row r="878705" spans="31:32" x14ac:dyDescent="0.25">
      <c r="AE878705" s="36"/>
      <c r="AF878705" s="36"/>
    </row>
    <row r="878801" spans="31:32" x14ac:dyDescent="0.25">
      <c r="AE878801" s="34"/>
      <c r="AF878801" s="34"/>
    </row>
    <row r="878809" spans="31:32" x14ac:dyDescent="0.25">
      <c r="AE878809" s="36"/>
      <c r="AF878809" s="36"/>
    </row>
    <row r="878905" spans="31:32" x14ac:dyDescent="0.25">
      <c r="AE878905" s="34"/>
      <c r="AF878905" s="34"/>
    </row>
    <row r="878913" spans="31:32" x14ac:dyDescent="0.25">
      <c r="AE878913" s="36"/>
      <c r="AF878913" s="36"/>
    </row>
    <row r="879009" spans="31:32" x14ac:dyDescent="0.25">
      <c r="AE879009" s="34"/>
      <c r="AF879009" s="34"/>
    </row>
    <row r="879017" spans="31:32" x14ac:dyDescent="0.25">
      <c r="AE879017" s="36"/>
      <c r="AF879017" s="36"/>
    </row>
    <row r="879113" spans="31:32" x14ac:dyDescent="0.25">
      <c r="AE879113" s="34"/>
      <c r="AF879113" s="34"/>
    </row>
    <row r="879121" spans="31:32" x14ac:dyDescent="0.25">
      <c r="AE879121" s="36"/>
      <c r="AF879121" s="36"/>
    </row>
    <row r="879217" spans="31:32" x14ac:dyDescent="0.25">
      <c r="AE879217" s="34"/>
      <c r="AF879217" s="34"/>
    </row>
    <row r="879225" spans="31:32" x14ac:dyDescent="0.25">
      <c r="AE879225" s="36"/>
      <c r="AF879225" s="36"/>
    </row>
    <row r="879321" spans="31:32" x14ac:dyDescent="0.25">
      <c r="AE879321" s="34"/>
      <c r="AF879321" s="34"/>
    </row>
    <row r="879329" spans="31:32" x14ac:dyDescent="0.25">
      <c r="AE879329" s="36"/>
      <c r="AF879329" s="36"/>
    </row>
    <row r="879425" spans="31:32" x14ac:dyDescent="0.25">
      <c r="AE879425" s="34"/>
      <c r="AF879425" s="34"/>
    </row>
    <row r="879433" spans="31:32" x14ac:dyDescent="0.25">
      <c r="AE879433" s="36"/>
      <c r="AF879433" s="36"/>
    </row>
    <row r="879529" spans="31:32" x14ac:dyDescent="0.25">
      <c r="AE879529" s="34"/>
      <c r="AF879529" s="34"/>
    </row>
    <row r="879537" spans="31:32" x14ac:dyDescent="0.25">
      <c r="AE879537" s="36"/>
      <c r="AF879537" s="36"/>
    </row>
    <row r="879633" spans="31:32" x14ac:dyDescent="0.25">
      <c r="AE879633" s="34"/>
      <c r="AF879633" s="34"/>
    </row>
    <row r="879641" spans="31:32" x14ac:dyDescent="0.25">
      <c r="AE879641" s="36"/>
      <c r="AF879641" s="36"/>
    </row>
    <row r="879737" spans="31:32" x14ac:dyDescent="0.25">
      <c r="AE879737" s="34"/>
      <c r="AF879737" s="34"/>
    </row>
    <row r="879745" spans="31:32" x14ac:dyDescent="0.25">
      <c r="AE879745" s="36"/>
      <c r="AF879745" s="36"/>
    </row>
    <row r="879841" spans="31:32" x14ac:dyDescent="0.25">
      <c r="AE879841" s="34"/>
      <c r="AF879841" s="34"/>
    </row>
    <row r="879849" spans="31:32" x14ac:dyDescent="0.25">
      <c r="AE879849" s="36"/>
      <c r="AF879849" s="36"/>
    </row>
    <row r="879945" spans="31:32" x14ac:dyDescent="0.25">
      <c r="AE879945" s="34"/>
      <c r="AF879945" s="34"/>
    </row>
    <row r="879953" spans="31:32" x14ac:dyDescent="0.25">
      <c r="AE879953" s="36"/>
      <c r="AF879953" s="36"/>
    </row>
    <row r="880049" spans="31:32" x14ac:dyDescent="0.25">
      <c r="AE880049" s="34"/>
      <c r="AF880049" s="34"/>
    </row>
    <row r="880057" spans="31:32" x14ac:dyDescent="0.25">
      <c r="AE880057" s="36"/>
      <c r="AF880057" s="36"/>
    </row>
    <row r="880153" spans="31:32" x14ac:dyDescent="0.25">
      <c r="AE880153" s="34"/>
      <c r="AF880153" s="34"/>
    </row>
    <row r="880161" spans="31:32" x14ac:dyDescent="0.25">
      <c r="AE880161" s="36"/>
      <c r="AF880161" s="36"/>
    </row>
    <row r="880257" spans="31:32" x14ac:dyDescent="0.25">
      <c r="AE880257" s="34"/>
      <c r="AF880257" s="34"/>
    </row>
    <row r="880265" spans="31:32" x14ac:dyDescent="0.25">
      <c r="AE880265" s="36"/>
      <c r="AF880265" s="36"/>
    </row>
    <row r="880361" spans="31:32" x14ac:dyDescent="0.25">
      <c r="AE880361" s="34"/>
      <c r="AF880361" s="34"/>
    </row>
    <row r="880369" spans="31:32" x14ac:dyDescent="0.25">
      <c r="AE880369" s="36"/>
      <c r="AF880369" s="36"/>
    </row>
    <row r="880465" spans="31:32" x14ac:dyDescent="0.25">
      <c r="AE880465" s="34"/>
      <c r="AF880465" s="34"/>
    </row>
    <row r="880473" spans="31:32" x14ac:dyDescent="0.25">
      <c r="AE880473" s="36"/>
      <c r="AF880473" s="36"/>
    </row>
    <row r="880569" spans="31:32" x14ac:dyDescent="0.25">
      <c r="AE880569" s="34"/>
      <c r="AF880569" s="34"/>
    </row>
    <row r="880577" spans="31:32" x14ac:dyDescent="0.25">
      <c r="AE880577" s="36"/>
      <c r="AF880577" s="36"/>
    </row>
    <row r="880673" spans="31:32" x14ac:dyDescent="0.25">
      <c r="AE880673" s="34"/>
      <c r="AF880673" s="34"/>
    </row>
    <row r="880681" spans="31:32" x14ac:dyDescent="0.25">
      <c r="AE880681" s="36"/>
      <c r="AF880681" s="36"/>
    </row>
    <row r="880777" spans="31:32" x14ac:dyDescent="0.25">
      <c r="AE880777" s="34"/>
      <c r="AF880777" s="34"/>
    </row>
    <row r="880785" spans="31:32" x14ac:dyDescent="0.25">
      <c r="AE880785" s="36"/>
      <c r="AF880785" s="36"/>
    </row>
    <row r="880881" spans="31:32" x14ac:dyDescent="0.25">
      <c r="AE880881" s="34"/>
      <c r="AF880881" s="34"/>
    </row>
    <row r="880889" spans="31:32" x14ac:dyDescent="0.25">
      <c r="AE880889" s="36"/>
      <c r="AF880889" s="36"/>
    </row>
    <row r="880985" spans="31:32" x14ac:dyDescent="0.25">
      <c r="AE880985" s="34"/>
      <c r="AF880985" s="34"/>
    </row>
    <row r="880993" spans="31:32" x14ac:dyDescent="0.25">
      <c r="AE880993" s="36"/>
      <c r="AF880993" s="36"/>
    </row>
    <row r="881089" spans="31:32" x14ac:dyDescent="0.25">
      <c r="AE881089" s="34"/>
      <c r="AF881089" s="34"/>
    </row>
    <row r="881097" spans="31:32" x14ac:dyDescent="0.25">
      <c r="AE881097" s="36"/>
      <c r="AF881097" s="36"/>
    </row>
    <row r="881193" spans="31:32" x14ac:dyDescent="0.25">
      <c r="AE881193" s="34"/>
      <c r="AF881193" s="34"/>
    </row>
    <row r="881201" spans="31:32" x14ac:dyDescent="0.25">
      <c r="AE881201" s="36"/>
      <c r="AF881201" s="36"/>
    </row>
    <row r="881297" spans="31:32" x14ac:dyDescent="0.25">
      <c r="AE881297" s="34"/>
      <c r="AF881297" s="34"/>
    </row>
    <row r="881305" spans="31:32" x14ac:dyDescent="0.25">
      <c r="AE881305" s="36"/>
      <c r="AF881305" s="36"/>
    </row>
    <row r="881401" spans="31:32" x14ac:dyDescent="0.25">
      <c r="AE881401" s="34"/>
      <c r="AF881401" s="34"/>
    </row>
    <row r="881409" spans="31:32" x14ac:dyDescent="0.25">
      <c r="AE881409" s="36"/>
      <c r="AF881409" s="36"/>
    </row>
    <row r="881505" spans="31:32" x14ac:dyDescent="0.25">
      <c r="AE881505" s="34"/>
      <c r="AF881505" s="34"/>
    </row>
    <row r="881513" spans="31:32" x14ac:dyDescent="0.25">
      <c r="AE881513" s="36"/>
      <c r="AF881513" s="36"/>
    </row>
    <row r="881609" spans="31:32" x14ac:dyDescent="0.25">
      <c r="AE881609" s="34"/>
      <c r="AF881609" s="34"/>
    </row>
    <row r="881617" spans="31:32" x14ac:dyDescent="0.25">
      <c r="AE881617" s="36"/>
      <c r="AF881617" s="36"/>
    </row>
    <row r="881713" spans="31:32" x14ac:dyDescent="0.25">
      <c r="AE881713" s="34"/>
      <c r="AF881713" s="34"/>
    </row>
    <row r="881721" spans="31:32" x14ac:dyDescent="0.25">
      <c r="AE881721" s="36"/>
      <c r="AF881721" s="36"/>
    </row>
    <row r="881817" spans="31:32" x14ac:dyDescent="0.25">
      <c r="AE881817" s="34"/>
      <c r="AF881817" s="34"/>
    </row>
    <row r="881825" spans="31:32" x14ac:dyDescent="0.25">
      <c r="AE881825" s="36"/>
      <c r="AF881825" s="36"/>
    </row>
    <row r="881921" spans="31:32" x14ac:dyDescent="0.25">
      <c r="AE881921" s="34"/>
      <c r="AF881921" s="34"/>
    </row>
    <row r="881929" spans="31:32" x14ac:dyDescent="0.25">
      <c r="AE881929" s="36"/>
      <c r="AF881929" s="36"/>
    </row>
    <row r="882025" spans="31:32" x14ac:dyDescent="0.25">
      <c r="AE882025" s="34"/>
      <c r="AF882025" s="34"/>
    </row>
    <row r="882033" spans="31:32" x14ac:dyDescent="0.25">
      <c r="AE882033" s="36"/>
      <c r="AF882033" s="36"/>
    </row>
    <row r="882129" spans="31:32" x14ac:dyDescent="0.25">
      <c r="AE882129" s="34"/>
      <c r="AF882129" s="34"/>
    </row>
    <row r="882137" spans="31:32" x14ac:dyDescent="0.25">
      <c r="AE882137" s="36"/>
      <c r="AF882137" s="36"/>
    </row>
    <row r="882233" spans="31:32" x14ac:dyDescent="0.25">
      <c r="AE882233" s="34"/>
      <c r="AF882233" s="34"/>
    </row>
    <row r="882241" spans="31:32" x14ac:dyDescent="0.25">
      <c r="AE882241" s="36"/>
      <c r="AF882241" s="36"/>
    </row>
    <row r="882337" spans="31:32" x14ac:dyDescent="0.25">
      <c r="AE882337" s="34"/>
      <c r="AF882337" s="34"/>
    </row>
    <row r="882345" spans="31:32" x14ac:dyDescent="0.25">
      <c r="AE882345" s="36"/>
      <c r="AF882345" s="36"/>
    </row>
    <row r="882441" spans="31:32" x14ac:dyDescent="0.25">
      <c r="AE882441" s="34"/>
      <c r="AF882441" s="34"/>
    </row>
    <row r="882449" spans="31:32" x14ac:dyDescent="0.25">
      <c r="AE882449" s="36"/>
      <c r="AF882449" s="36"/>
    </row>
    <row r="882545" spans="31:32" x14ac:dyDescent="0.25">
      <c r="AE882545" s="34"/>
      <c r="AF882545" s="34"/>
    </row>
    <row r="882553" spans="31:32" x14ac:dyDescent="0.25">
      <c r="AE882553" s="36"/>
      <c r="AF882553" s="36"/>
    </row>
    <row r="882649" spans="31:32" x14ac:dyDescent="0.25">
      <c r="AE882649" s="34"/>
      <c r="AF882649" s="34"/>
    </row>
    <row r="882657" spans="31:32" x14ac:dyDescent="0.25">
      <c r="AE882657" s="36"/>
      <c r="AF882657" s="36"/>
    </row>
    <row r="882753" spans="31:32" x14ac:dyDescent="0.25">
      <c r="AE882753" s="34"/>
      <c r="AF882753" s="34"/>
    </row>
    <row r="882761" spans="31:32" x14ac:dyDescent="0.25">
      <c r="AE882761" s="36"/>
      <c r="AF882761" s="36"/>
    </row>
    <row r="882857" spans="31:32" x14ac:dyDescent="0.25">
      <c r="AE882857" s="34"/>
      <c r="AF882857" s="34"/>
    </row>
    <row r="882865" spans="31:32" x14ac:dyDescent="0.25">
      <c r="AE882865" s="36"/>
      <c r="AF882865" s="36"/>
    </row>
    <row r="882961" spans="31:32" x14ac:dyDescent="0.25">
      <c r="AE882961" s="34"/>
      <c r="AF882961" s="34"/>
    </row>
    <row r="882969" spans="31:32" x14ac:dyDescent="0.25">
      <c r="AE882969" s="36"/>
      <c r="AF882969" s="36"/>
    </row>
    <row r="883065" spans="31:32" x14ac:dyDescent="0.25">
      <c r="AE883065" s="34"/>
      <c r="AF883065" s="34"/>
    </row>
    <row r="883073" spans="31:32" x14ac:dyDescent="0.25">
      <c r="AE883073" s="36"/>
      <c r="AF883073" s="36"/>
    </row>
    <row r="883169" spans="31:32" x14ac:dyDescent="0.25">
      <c r="AE883169" s="34"/>
      <c r="AF883169" s="34"/>
    </row>
    <row r="883177" spans="31:32" x14ac:dyDescent="0.25">
      <c r="AE883177" s="36"/>
      <c r="AF883177" s="36"/>
    </row>
    <row r="883273" spans="31:32" x14ac:dyDescent="0.25">
      <c r="AE883273" s="34"/>
      <c r="AF883273" s="34"/>
    </row>
    <row r="883281" spans="31:32" x14ac:dyDescent="0.25">
      <c r="AE883281" s="36"/>
      <c r="AF883281" s="36"/>
    </row>
    <row r="883377" spans="31:32" x14ac:dyDescent="0.25">
      <c r="AE883377" s="34"/>
      <c r="AF883377" s="34"/>
    </row>
    <row r="883385" spans="31:32" x14ac:dyDescent="0.25">
      <c r="AE883385" s="36"/>
      <c r="AF883385" s="36"/>
    </row>
    <row r="883481" spans="31:32" x14ac:dyDescent="0.25">
      <c r="AE883481" s="34"/>
      <c r="AF883481" s="34"/>
    </row>
    <row r="883489" spans="31:32" x14ac:dyDescent="0.25">
      <c r="AE883489" s="36"/>
      <c r="AF883489" s="36"/>
    </row>
    <row r="883585" spans="31:32" x14ac:dyDescent="0.25">
      <c r="AE883585" s="34"/>
      <c r="AF883585" s="34"/>
    </row>
    <row r="883593" spans="31:32" x14ac:dyDescent="0.25">
      <c r="AE883593" s="36"/>
      <c r="AF883593" s="36"/>
    </row>
    <row r="883689" spans="31:32" x14ac:dyDescent="0.25">
      <c r="AE883689" s="34"/>
      <c r="AF883689" s="34"/>
    </row>
    <row r="883697" spans="31:32" x14ac:dyDescent="0.25">
      <c r="AE883697" s="36"/>
      <c r="AF883697" s="36"/>
    </row>
    <row r="883793" spans="31:32" x14ac:dyDescent="0.25">
      <c r="AE883793" s="34"/>
      <c r="AF883793" s="34"/>
    </row>
    <row r="883801" spans="31:32" x14ac:dyDescent="0.25">
      <c r="AE883801" s="36"/>
      <c r="AF883801" s="36"/>
    </row>
    <row r="883897" spans="31:32" x14ac:dyDescent="0.25">
      <c r="AE883897" s="34"/>
      <c r="AF883897" s="34"/>
    </row>
    <row r="883905" spans="31:32" x14ac:dyDescent="0.25">
      <c r="AE883905" s="36"/>
      <c r="AF883905" s="36"/>
    </row>
    <row r="884001" spans="31:32" x14ac:dyDescent="0.25">
      <c r="AE884001" s="34"/>
      <c r="AF884001" s="34"/>
    </row>
    <row r="884009" spans="31:32" x14ac:dyDescent="0.25">
      <c r="AE884009" s="36"/>
      <c r="AF884009" s="36"/>
    </row>
    <row r="884105" spans="31:32" x14ac:dyDescent="0.25">
      <c r="AE884105" s="34"/>
      <c r="AF884105" s="34"/>
    </row>
    <row r="884113" spans="31:32" x14ac:dyDescent="0.25">
      <c r="AE884113" s="36"/>
      <c r="AF884113" s="36"/>
    </row>
    <row r="884209" spans="31:32" x14ac:dyDescent="0.25">
      <c r="AE884209" s="34"/>
      <c r="AF884209" s="34"/>
    </row>
    <row r="884217" spans="31:32" x14ac:dyDescent="0.25">
      <c r="AE884217" s="36"/>
      <c r="AF884217" s="36"/>
    </row>
    <row r="884313" spans="31:32" x14ac:dyDescent="0.25">
      <c r="AE884313" s="34"/>
      <c r="AF884313" s="34"/>
    </row>
    <row r="884321" spans="31:32" x14ac:dyDescent="0.25">
      <c r="AE884321" s="36"/>
      <c r="AF884321" s="36"/>
    </row>
    <row r="884417" spans="31:32" x14ac:dyDescent="0.25">
      <c r="AE884417" s="34"/>
      <c r="AF884417" s="34"/>
    </row>
    <row r="884425" spans="31:32" x14ac:dyDescent="0.25">
      <c r="AE884425" s="36"/>
      <c r="AF884425" s="36"/>
    </row>
    <row r="884521" spans="31:32" x14ac:dyDescent="0.25">
      <c r="AE884521" s="34"/>
      <c r="AF884521" s="34"/>
    </row>
    <row r="884529" spans="31:32" x14ac:dyDescent="0.25">
      <c r="AE884529" s="36"/>
      <c r="AF884529" s="36"/>
    </row>
    <row r="884625" spans="31:32" x14ac:dyDescent="0.25">
      <c r="AE884625" s="34"/>
      <c r="AF884625" s="34"/>
    </row>
    <row r="884633" spans="31:32" x14ac:dyDescent="0.25">
      <c r="AE884633" s="36"/>
      <c r="AF884633" s="36"/>
    </row>
    <row r="884729" spans="31:32" x14ac:dyDescent="0.25">
      <c r="AE884729" s="34"/>
      <c r="AF884729" s="34"/>
    </row>
    <row r="884737" spans="31:32" x14ac:dyDescent="0.25">
      <c r="AE884737" s="36"/>
      <c r="AF884737" s="36"/>
    </row>
    <row r="884833" spans="31:32" x14ac:dyDescent="0.25">
      <c r="AE884833" s="34"/>
      <c r="AF884833" s="34"/>
    </row>
    <row r="884841" spans="31:32" x14ac:dyDescent="0.25">
      <c r="AE884841" s="36"/>
      <c r="AF884841" s="36"/>
    </row>
    <row r="884937" spans="31:32" x14ac:dyDescent="0.25">
      <c r="AE884937" s="34"/>
      <c r="AF884937" s="34"/>
    </row>
    <row r="884945" spans="31:32" x14ac:dyDescent="0.25">
      <c r="AE884945" s="36"/>
      <c r="AF884945" s="36"/>
    </row>
    <row r="885041" spans="31:32" x14ac:dyDescent="0.25">
      <c r="AE885041" s="34"/>
      <c r="AF885041" s="34"/>
    </row>
    <row r="885049" spans="31:32" x14ac:dyDescent="0.25">
      <c r="AE885049" s="36"/>
      <c r="AF885049" s="36"/>
    </row>
    <row r="885145" spans="31:32" x14ac:dyDescent="0.25">
      <c r="AE885145" s="34"/>
      <c r="AF885145" s="34"/>
    </row>
    <row r="885153" spans="31:32" x14ac:dyDescent="0.25">
      <c r="AE885153" s="36"/>
      <c r="AF885153" s="36"/>
    </row>
    <row r="885249" spans="31:32" x14ac:dyDescent="0.25">
      <c r="AE885249" s="34"/>
      <c r="AF885249" s="34"/>
    </row>
    <row r="885257" spans="31:32" x14ac:dyDescent="0.25">
      <c r="AE885257" s="36"/>
      <c r="AF885257" s="36"/>
    </row>
    <row r="885353" spans="31:32" x14ac:dyDescent="0.25">
      <c r="AE885353" s="34"/>
      <c r="AF885353" s="34"/>
    </row>
    <row r="885361" spans="31:32" x14ac:dyDescent="0.25">
      <c r="AE885361" s="36"/>
      <c r="AF885361" s="36"/>
    </row>
    <row r="885457" spans="31:32" x14ac:dyDescent="0.25">
      <c r="AE885457" s="34"/>
      <c r="AF885457" s="34"/>
    </row>
    <row r="885465" spans="31:32" x14ac:dyDescent="0.25">
      <c r="AE885465" s="36"/>
      <c r="AF885465" s="36"/>
    </row>
    <row r="885561" spans="31:32" x14ac:dyDescent="0.25">
      <c r="AE885561" s="34"/>
      <c r="AF885561" s="34"/>
    </row>
    <row r="885569" spans="31:32" x14ac:dyDescent="0.25">
      <c r="AE885569" s="36"/>
      <c r="AF885569" s="36"/>
    </row>
    <row r="885665" spans="31:32" x14ac:dyDescent="0.25">
      <c r="AE885665" s="34"/>
      <c r="AF885665" s="34"/>
    </row>
    <row r="885673" spans="31:32" x14ac:dyDescent="0.25">
      <c r="AE885673" s="36"/>
      <c r="AF885673" s="36"/>
    </row>
    <row r="885769" spans="31:32" x14ac:dyDescent="0.25">
      <c r="AE885769" s="34"/>
      <c r="AF885769" s="34"/>
    </row>
    <row r="885777" spans="31:32" x14ac:dyDescent="0.25">
      <c r="AE885777" s="36"/>
      <c r="AF885777" s="36"/>
    </row>
    <row r="885873" spans="31:32" x14ac:dyDescent="0.25">
      <c r="AE885873" s="34"/>
      <c r="AF885873" s="34"/>
    </row>
    <row r="885881" spans="31:32" x14ac:dyDescent="0.25">
      <c r="AE885881" s="36"/>
      <c r="AF885881" s="36"/>
    </row>
    <row r="885977" spans="31:32" x14ac:dyDescent="0.25">
      <c r="AE885977" s="34"/>
      <c r="AF885977" s="34"/>
    </row>
    <row r="885985" spans="31:32" x14ac:dyDescent="0.25">
      <c r="AE885985" s="36"/>
      <c r="AF885985" s="36"/>
    </row>
    <row r="886081" spans="31:32" x14ac:dyDescent="0.25">
      <c r="AE886081" s="34"/>
      <c r="AF886081" s="34"/>
    </row>
    <row r="886089" spans="31:32" x14ac:dyDescent="0.25">
      <c r="AE886089" s="36"/>
      <c r="AF886089" s="36"/>
    </row>
    <row r="886185" spans="31:32" x14ac:dyDescent="0.25">
      <c r="AE886185" s="34"/>
      <c r="AF886185" s="34"/>
    </row>
    <row r="886193" spans="31:32" x14ac:dyDescent="0.25">
      <c r="AE886193" s="36"/>
      <c r="AF886193" s="36"/>
    </row>
    <row r="886289" spans="31:32" x14ac:dyDescent="0.25">
      <c r="AE886289" s="34"/>
      <c r="AF886289" s="34"/>
    </row>
    <row r="886297" spans="31:32" x14ac:dyDescent="0.25">
      <c r="AE886297" s="36"/>
      <c r="AF886297" s="36"/>
    </row>
    <row r="886393" spans="31:32" x14ac:dyDescent="0.25">
      <c r="AE886393" s="34"/>
      <c r="AF886393" s="34"/>
    </row>
    <row r="886401" spans="31:32" x14ac:dyDescent="0.25">
      <c r="AE886401" s="36"/>
      <c r="AF886401" s="36"/>
    </row>
    <row r="886497" spans="31:32" x14ac:dyDescent="0.25">
      <c r="AE886497" s="34"/>
      <c r="AF886497" s="34"/>
    </row>
    <row r="886505" spans="31:32" x14ac:dyDescent="0.25">
      <c r="AE886505" s="36"/>
      <c r="AF886505" s="36"/>
    </row>
    <row r="886601" spans="31:32" x14ac:dyDescent="0.25">
      <c r="AE886601" s="34"/>
      <c r="AF886601" s="34"/>
    </row>
    <row r="886609" spans="31:32" x14ac:dyDescent="0.25">
      <c r="AE886609" s="36"/>
      <c r="AF886609" s="36"/>
    </row>
    <row r="886705" spans="31:32" x14ac:dyDescent="0.25">
      <c r="AE886705" s="34"/>
      <c r="AF886705" s="34"/>
    </row>
    <row r="886713" spans="31:32" x14ac:dyDescent="0.25">
      <c r="AE886713" s="36"/>
      <c r="AF886713" s="36"/>
    </row>
    <row r="886809" spans="31:32" x14ac:dyDescent="0.25">
      <c r="AE886809" s="34"/>
      <c r="AF886809" s="34"/>
    </row>
    <row r="886817" spans="31:32" x14ac:dyDescent="0.25">
      <c r="AE886817" s="36"/>
      <c r="AF886817" s="36"/>
    </row>
    <row r="886913" spans="31:32" x14ac:dyDescent="0.25">
      <c r="AE886913" s="34"/>
      <c r="AF886913" s="34"/>
    </row>
    <row r="886921" spans="31:32" x14ac:dyDescent="0.25">
      <c r="AE886921" s="36"/>
      <c r="AF886921" s="36"/>
    </row>
    <row r="887017" spans="31:32" x14ac:dyDescent="0.25">
      <c r="AE887017" s="34"/>
      <c r="AF887017" s="34"/>
    </row>
    <row r="887025" spans="31:32" x14ac:dyDescent="0.25">
      <c r="AE887025" s="36"/>
      <c r="AF887025" s="36"/>
    </row>
    <row r="887121" spans="31:32" x14ac:dyDescent="0.25">
      <c r="AE887121" s="34"/>
      <c r="AF887121" s="34"/>
    </row>
    <row r="887129" spans="31:32" x14ac:dyDescent="0.25">
      <c r="AE887129" s="36"/>
      <c r="AF887129" s="36"/>
    </row>
    <row r="887225" spans="31:32" x14ac:dyDescent="0.25">
      <c r="AE887225" s="34"/>
      <c r="AF887225" s="34"/>
    </row>
    <row r="887233" spans="31:32" x14ac:dyDescent="0.25">
      <c r="AE887233" s="36"/>
      <c r="AF887233" s="36"/>
    </row>
    <row r="887329" spans="31:32" x14ac:dyDescent="0.25">
      <c r="AE887329" s="34"/>
      <c r="AF887329" s="34"/>
    </row>
    <row r="887337" spans="31:32" x14ac:dyDescent="0.25">
      <c r="AE887337" s="36"/>
      <c r="AF887337" s="36"/>
    </row>
    <row r="887433" spans="31:32" x14ac:dyDescent="0.25">
      <c r="AE887433" s="34"/>
      <c r="AF887433" s="34"/>
    </row>
    <row r="887441" spans="31:32" x14ac:dyDescent="0.25">
      <c r="AE887441" s="36"/>
      <c r="AF887441" s="36"/>
    </row>
    <row r="887537" spans="31:32" x14ac:dyDescent="0.25">
      <c r="AE887537" s="34"/>
      <c r="AF887537" s="34"/>
    </row>
    <row r="887545" spans="31:32" x14ac:dyDescent="0.25">
      <c r="AE887545" s="36"/>
      <c r="AF887545" s="36"/>
    </row>
    <row r="887641" spans="31:32" x14ac:dyDescent="0.25">
      <c r="AE887641" s="34"/>
      <c r="AF887641" s="34"/>
    </row>
    <row r="887649" spans="31:32" x14ac:dyDescent="0.25">
      <c r="AE887649" s="36"/>
      <c r="AF887649" s="36"/>
    </row>
    <row r="887745" spans="31:32" x14ac:dyDescent="0.25">
      <c r="AE887745" s="34"/>
      <c r="AF887745" s="34"/>
    </row>
    <row r="887753" spans="31:32" x14ac:dyDescent="0.25">
      <c r="AE887753" s="36"/>
      <c r="AF887753" s="36"/>
    </row>
    <row r="887849" spans="31:32" x14ac:dyDescent="0.25">
      <c r="AE887849" s="34"/>
      <c r="AF887849" s="34"/>
    </row>
    <row r="887857" spans="31:32" x14ac:dyDescent="0.25">
      <c r="AE887857" s="36"/>
      <c r="AF887857" s="36"/>
    </row>
    <row r="887953" spans="31:32" x14ac:dyDescent="0.25">
      <c r="AE887953" s="34"/>
      <c r="AF887953" s="34"/>
    </row>
    <row r="887961" spans="31:32" x14ac:dyDescent="0.25">
      <c r="AE887961" s="36"/>
      <c r="AF887961" s="36"/>
    </row>
    <row r="888057" spans="31:32" x14ac:dyDescent="0.25">
      <c r="AE888057" s="34"/>
      <c r="AF888057" s="34"/>
    </row>
    <row r="888065" spans="31:32" x14ac:dyDescent="0.25">
      <c r="AE888065" s="36"/>
      <c r="AF888065" s="36"/>
    </row>
    <row r="888161" spans="31:32" x14ac:dyDescent="0.25">
      <c r="AE888161" s="34"/>
      <c r="AF888161" s="34"/>
    </row>
    <row r="888169" spans="31:32" x14ac:dyDescent="0.25">
      <c r="AE888169" s="36"/>
      <c r="AF888169" s="36"/>
    </row>
    <row r="888265" spans="31:32" x14ac:dyDescent="0.25">
      <c r="AE888265" s="34"/>
      <c r="AF888265" s="34"/>
    </row>
    <row r="888273" spans="31:32" x14ac:dyDescent="0.25">
      <c r="AE888273" s="36"/>
      <c r="AF888273" s="36"/>
    </row>
    <row r="888369" spans="31:32" x14ac:dyDescent="0.25">
      <c r="AE888369" s="34"/>
      <c r="AF888369" s="34"/>
    </row>
    <row r="888377" spans="31:32" x14ac:dyDescent="0.25">
      <c r="AE888377" s="36"/>
      <c r="AF888377" s="36"/>
    </row>
    <row r="888473" spans="31:32" x14ac:dyDescent="0.25">
      <c r="AE888473" s="34"/>
      <c r="AF888473" s="34"/>
    </row>
    <row r="888481" spans="31:32" x14ac:dyDescent="0.25">
      <c r="AE888481" s="36"/>
      <c r="AF888481" s="36"/>
    </row>
    <row r="888577" spans="31:32" x14ac:dyDescent="0.25">
      <c r="AE888577" s="34"/>
      <c r="AF888577" s="34"/>
    </row>
    <row r="888585" spans="31:32" x14ac:dyDescent="0.25">
      <c r="AE888585" s="36"/>
      <c r="AF888585" s="36"/>
    </row>
    <row r="888681" spans="31:32" x14ac:dyDescent="0.25">
      <c r="AE888681" s="34"/>
      <c r="AF888681" s="34"/>
    </row>
    <row r="888689" spans="31:32" x14ac:dyDescent="0.25">
      <c r="AE888689" s="36"/>
      <c r="AF888689" s="36"/>
    </row>
    <row r="888785" spans="31:32" x14ac:dyDescent="0.25">
      <c r="AE888785" s="34"/>
      <c r="AF888785" s="34"/>
    </row>
    <row r="888793" spans="31:32" x14ac:dyDescent="0.25">
      <c r="AE888793" s="36"/>
      <c r="AF888793" s="36"/>
    </row>
    <row r="888889" spans="31:32" x14ac:dyDescent="0.25">
      <c r="AE888889" s="34"/>
      <c r="AF888889" s="34"/>
    </row>
    <row r="888897" spans="31:32" x14ac:dyDescent="0.25">
      <c r="AE888897" s="36"/>
      <c r="AF888897" s="36"/>
    </row>
    <row r="888993" spans="31:32" x14ac:dyDescent="0.25">
      <c r="AE888993" s="34"/>
      <c r="AF888993" s="34"/>
    </row>
    <row r="889001" spans="31:32" x14ac:dyDescent="0.25">
      <c r="AE889001" s="36"/>
      <c r="AF889001" s="36"/>
    </row>
    <row r="889097" spans="31:32" x14ac:dyDescent="0.25">
      <c r="AE889097" s="34"/>
      <c r="AF889097" s="34"/>
    </row>
    <row r="889105" spans="31:32" x14ac:dyDescent="0.25">
      <c r="AE889105" s="36"/>
      <c r="AF889105" s="36"/>
    </row>
    <row r="889201" spans="31:32" x14ac:dyDescent="0.25">
      <c r="AE889201" s="34"/>
      <c r="AF889201" s="34"/>
    </row>
    <row r="889209" spans="31:32" x14ac:dyDescent="0.25">
      <c r="AE889209" s="36"/>
      <c r="AF889209" s="36"/>
    </row>
    <row r="889305" spans="31:32" x14ac:dyDescent="0.25">
      <c r="AE889305" s="34"/>
      <c r="AF889305" s="34"/>
    </row>
    <row r="889313" spans="31:32" x14ac:dyDescent="0.25">
      <c r="AE889313" s="36"/>
      <c r="AF889313" s="36"/>
    </row>
    <row r="889409" spans="31:32" x14ac:dyDescent="0.25">
      <c r="AE889409" s="34"/>
      <c r="AF889409" s="34"/>
    </row>
    <row r="889417" spans="31:32" x14ac:dyDescent="0.25">
      <c r="AE889417" s="36"/>
      <c r="AF889417" s="36"/>
    </row>
    <row r="889513" spans="31:32" x14ac:dyDescent="0.25">
      <c r="AE889513" s="34"/>
      <c r="AF889513" s="34"/>
    </row>
    <row r="889521" spans="31:32" x14ac:dyDescent="0.25">
      <c r="AE889521" s="36"/>
      <c r="AF889521" s="36"/>
    </row>
    <row r="889617" spans="31:32" x14ac:dyDescent="0.25">
      <c r="AE889617" s="34"/>
      <c r="AF889617" s="34"/>
    </row>
    <row r="889625" spans="31:32" x14ac:dyDescent="0.25">
      <c r="AE889625" s="36"/>
      <c r="AF889625" s="36"/>
    </row>
    <row r="889721" spans="31:32" x14ac:dyDescent="0.25">
      <c r="AE889721" s="34"/>
      <c r="AF889721" s="34"/>
    </row>
    <row r="889729" spans="31:32" x14ac:dyDescent="0.25">
      <c r="AE889729" s="36"/>
      <c r="AF889729" s="36"/>
    </row>
    <row r="889825" spans="31:32" x14ac:dyDescent="0.25">
      <c r="AE889825" s="34"/>
      <c r="AF889825" s="34"/>
    </row>
    <row r="889833" spans="31:32" x14ac:dyDescent="0.25">
      <c r="AE889833" s="36"/>
      <c r="AF889833" s="36"/>
    </row>
    <row r="889929" spans="31:32" x14ac:dyDescent="0.25">
      <c r="AE889929" s="34"/>
      <c r="AF889929" s="34"/>
    </row>
    <row r="889937" spans="31:32" x14ac:dyDescent="0.25">
      <c r="AE889937" s="36"/>
      <c r="AF889937" s="36"/>
    </row>
    <row r="890033" spans="31:32" x14ac:dyDescent="0.25">
      <c r="AE890033" s="34"/>
      <c r="AF890033" s="34"/>
    </row>
    <row r="890041" spans="31:32" x14ac:dyDescent="0.25">
      <c r="AE890041" s="36"/>
      <c r="AF890041" s="36"/>
    </row>
    <row r="890137" spans="31:32" x14ac:dyDescent="0.25">
      <c r="AE890137" s="34"/>
      <c r="AF890137" s="34"/>
    </row>
    <row r="890145" spans="31:32" x14ac:dyDescent="0.25">
      <c r="AE890145" s="36"/>
      <c r="AF890145" s="36"/>
    </row>
    <row r="890241" spans="31:32" x14ac:dyDescent="0.25">
      <c r="AE890241" s="34"/>
      <c r="AF890241" s="34"/>
    </row>
    <row r="890249" spans="31:32" x14ac:dyDescent="0.25">
      <c r="AE890249" s="36"/>
      <c r="AF890249" s="36"/>
    </row>
    <row r="890345" spans="31:32" x14ac:dyDescent="0.25">
      <c r="AE890345" s="34"/>
      <c r="AF890345" s="34"/>
    </row>
    <row r="890353" spans="31:32" x14ac:dyDescent="0.25">
      <c r="AE890353" s="36"/>
      <c r="AF890353" s="36"/>
    </row>
    <row r="890449" spans="31:32" x14ac:dyDescent="0.25">
      <c r="AE890449" s="34"/>
      <c r="AF890449" s="34"/>
    </row>
    <row r="890457" spans="31:32" x14ac:dyDescent="0.25">
      <c r="AE890457" s="36"/>
      <c r="AF890457" s="36"/>
    </row>
    <row r="890553" spans="31:32" x14ac:dyDescent="0.25">
      <c r="AE890553" s="34"/>
      <c r="AF890553" s="34"/>
    </row>
    <row r="890561" spans="31:32" x14ac:dyDescent="0.25">
      <c r="AE890561" s="36"/>
      <c r="AF890561" s="36"/>
    </row>
    <row r="890657" spans="31:32" x14ac:dyDescent="0.25">
      <c r="AE890657" s="34"/>
      <c r="AF890657" s="34"/>
    </row>
    <row r="890665" spans="31:32" x14ac:dyDescent="0.25">
      <c r="AE890665" s="36"/>
      <c r="AF890665" s="36"/>
    </row>
    <row r="890761" spans="31:32" x14ac:dyDescent="0.25">
      <c r="AE890761" s="34"/>
      <c r="AF890761" s="34"/>
    </row>
    <row r="890769" spans="31:32" x14ac:dyDescent="0.25">
      <c r="AE890769" s="36"/>
      <c r="AF890769" s="36"/>
    </row>
    <row r="890865" spans="31:32" x14ac:dyDescent="0.25">
      <c r="AE890865" s="34"/>
      <c r="AF890865" s="34"/>
    </row>
    <row r="890873" spans="31:32" x14ac:dyDescent="0.25">
      <c r="AE890873" s="36"/>
      <c r="AF890873" s="36"/>
    </row>
    <row r="890969" spans="31:32" x14ac:dyDescent="0.25">
      <c r="AE890969" s="34"/>
      <c r="AF890969" s="34"/>
    </row>
    <row r="890977" spans="31:32" x14ac:dyDescent="0.25">
      <c r="AE890977" s="36"/>
      <c r="AF890977" s="36"/>
    </row>
    <row r="891073" spans="31:32" x14ac:dyDescent="0.25">
      <c r="AE891073" s="34"/>
      <c r="AF891073" s="34"/>
    </row>
    <row r="891081" spans="31:32" x14ac:dyDescent="0.25">
      <c r="AE891081" s="36"/>
      <c r="AF891081" s="36"/>
    </row>
    <row r="891177" spans="31:32" x14ac:dyDescent="0.25">
      <c r="AE891177" s="34"/>
      <c r="AF891177" s="34"/>
    </row>
    <row r="891185" spans="31:32" x14ac:dyDescent="0.25">
      <c r="AE891185" s="36"/>
      <c r="AF891185" s="36"/>
    </row>
    <row r="891281" spans="31:32" x14ac:dyDescent="0.25">
      <c r="AE891281" s="34"/>
      <c r="AF891281" s="34"/>
    </row>
    <row r="891289" spans="31:32" x14ac:dyDescent="0.25">
      <c r="AE891289" s="36"/>
      <c r="AF891289" s="36"/>
    </row>
    <row r="891385" spans="31:32" x14ac:dyDescent="0.25">
      <c r="AE891385" s="34"/>
      <c r="AF891385" s="34"/>
    </row>
    <row r="891393" spans="31:32" x14ac:dyDescent="0.25">
      <c r="AE891393" s="36"/>
      <c r="AF891393" s="36"/>
    </row>
    <row r="891489" spans="31:32" x14ac:dyDescent="0.25">
      <c r="AE891489" s="34"/>
      <c r="AF891489" s="34"/>
    </row>
    <row r="891497" spans="31:32" x14ac:dyDescent="0.25">
      <c r="AE891497" s="36"/>
      <c r="AF891497" s="36"/>
    </row>
    <row r="891593" spans="31:32" x14ac:dyDescent="0.25">
      <c r="AE891593" s="34"/>
      <c r="AF891593" s="34"/>
    </row>
    <row r="891601" spans="31:32" x14ac:dyDescent="0.25">
      <c r="AE891601" s="36"/>
      <c r="AF891601" s="36"/>
    </row>
    <row r="891697" spans="31:32" x14ac:dyDescent="0.25">
      <c r="AE891697" s="34"/>
      <c r="AF891697" s="34"/>
    </row>
    <row r="891705" spans="31:32" x14ac:dyDescent="0.25">
      <c r="AE891705" s="36"/>
      <c r="AF891705" s="36"/>
    </row>
    <row r="891801" spans="31:32" x14ac:dyDescent="0.25">
      <c r="AE891801" s="34"/>
      <c r="AF891801" s="34"/>
    </row>
    <row r="891809" spans="31:32" x14ac:dyDescent="0.25">
      <c r="AE891809" s="36"/>
      <c r="AF891809" s="36"/>
    </row>
    <row r="891905" spans="31:32" x14ac:dyDescent="0.25">
      <c r="AE891905" s="34"/>
      <c r="AF891905" s="34"/>
    </row>
    <row r="891913" spans="31:32" x14ac:dyDescent="0.25">
      <c r="AE891913" s="36"/>
      <c r="AF891913" s="36"/>
    </row>
    <row r="892009" spans="31:32" x14ac:dyDescent="0.25">
      <c r="AE892009" s="34"/>
      <c r="AF892009" s="34"/>
    </row>
    <row r="892017" spans="31:32" x14ac:dyDescent="0.25">
      <c r="AE892017" s="36"/>
      <c r="AF892017" s="36"/>
    </row>
    <row r="892113" spans="31:32" x14ac:dyDescent="0.25">
      <c r="AE892113" s="34"/>
      <c r="AF892113" s="34"/>
    </row>
    <row r="892121" spans="31:32" x14ac:dyDescent="0.25">
      <c r="AE892121" s="36"/>
      <c r="AF892121" s="36"/>
    </row>
    <row r="892217" spans="31:32" x14ac:dyDescent="0.25">
      <c r="AE892217" s="34"/>
      <c r="AF892217" s="34"/>
    </row>
    <row r="892225" spans="31:32" x14ac:dyDescent="0.25">
      <c r="AE892225" s="36"/>
      <c r="AF892225" s="36"/>
    </row>
    <row r="892321" spans="31:32" x14ac:dyDescent="0.25">
      <c r="AE892321" s="34"/>
      <c r="AF892321" s="34"/>
    </row>
    <row r="892329" spans="31:32" x14ac:dyDescent="0.25">
      <c r="AE892329" s="36"/>
      <c r="AF892329" s="36"/>
    </row>
    <row r="892425" spans="31:32" x14ac:dyDescent="0.25">
      <c r="AE892425" s="34"/>
      <c r="AF892425" s="34"/>
    </row>
    <row r="892433" spans="31:32" x14ac:dyDescent="0.25">
      <c r="AE892433" s="36"/>
      <c r="AF892433" s="36"/>
    </row>
    <row r="892529" spans="31:32" x14ac:dyDescent="0.25">
      <c r="AE892529" s="34"/>
      <c r="AF892529" s="34"/>
    </row>
    <row r="892537" spans="31:32" x14ac:dyDescent="0.25">
      <c r="AE892537" s="36"/>
      <c r="AF892537" s="36"/>
    </row>
    <row r="892633" spans="31:32" x14ac:dyDescent="0.25">
      <c r="AE892633" s="34"/>
      <c r="AF892633" s="34"/>
    </row>
    <row r="892641" spans="31:32" x14ac:dyDescent="0.25">
      <c r="AE892641" s="36"/>
      <c r="AF892641" s="36"/>
    </row>
    <row r="892737" spans="31:32" x14ac:dyDescent="0.25">
      <c r="AE892737" s="34"/>
      <c r="AF892737" s="34"/>
    </row>
    <row r="892745" spans="31:32" x14ac:dyDescent="0.25">
      <c r="AE892745" s="36"/>
      <c r="AF892745" s="36"/>
    </row>
    <row r="892841" spans="31:32" x14ac:dyDescent="0.25">
      <c r="AE892841" s="34"/>
      <c r="AF892841" s="34"/>
    </row>
    <row r="892849" spans="31:32" x14ac:dyDescent="0.25">
      <c r="AE892849" s="36"/>
      <c r="AF892849" s="36"/>
    </row>
    <row r="892945" spans="31:32" x14ac:dyDescent="0.25">
      <c r="AE892945" s="34"/>
      <c r="AF892945" s="34"/>
    </row>
    <row r="892953" spans="31:32" x14ac:dyDescent="0.25">
      <c r="AE892953" s="36"/>
      <c r="AF892953" s="36"/>
    </row>
    <row r="893049" spans="31:32" x14ac:dyDescent="0.25">
      <c r="AE893049" s="34"/>
      <c r="AF893049" s="34"/>
    </row>
    <row r="893057" spans="31:32" x14ac:dyDescent="0.25">
      <c r="AE893057" s="36"/>
      <c r="AF893057" s="36"/>
    </row>
    <row r="893153" spans="31:32" x14ac:dyDescent="0.25">
      <c r="AE893153" s="34"/>
      <c r="AF893153" s="34"/>
    </row>
    <row r="893161" spans="31:32" x14ac:dyDescent="0.25">
      <c r="AE893161" s="36"/>
      <c r="AF893161" s="36"/>
    </row>
    <row r="893257" spans="31:32" x14ac:dyDescent="0.25">
      <c r="AE893257" s="34"/>
      <c r="AF893257" s="34"/>
    </row>
    <row r="893265" spans="31:32" x14ac:dyDescent="0.25">
      <c r="AE893265" s="36"/>
      <c r="AF893265" s="36"/>
    </row>
    <row r="893361" spans="31:32" x14ac:dyDescent="0.25">
      <c r="AE893361" s="34"/>
      <c r="AF893361" s="34"/>
    </row>
    <row r="893369" spans="31:32" x14ac:dyDescent="0.25">
      <c r="AE893369" s="36"/>
      <c r="AF893369" s="36"/>
    </row>
    <row r="893465" spans="31:32" x14ac:dyDescent="0.25">
      <c r="AE893465" s="34"/>
      <c r="AF893465" s="34"/>
    </row>
    <row r="893473" spans="31:32" x14ac:dyDescent="0.25">
      <c r="AE893473" s="36"/>
      <c r="AF893473" s="36"/>
    </row>
    <row r="893569" spans="31:32" x14ac:dyDescent="0.25">
      <c r="AE893569" s="34"/>
      <c r="AF893569" s="34"/>
    </row>
    <row r="893577" spans="31:32" x14ac:dyDescent="0.25">
      <c r="AE893577" s="36"/>
      <c r="AF893577" s="36"/>
    </row>
    <row r="893673" spans="31:32" x14ac:dyDescent="0.25">
      <c r="AE893673" s="34"/>
      <c r="AF893673" s="34"/>
    </row>
    <row r="893681" spans="31:32" x14ac:dyDescent="0.25">
      <c r="AE893681" s="36"/>
      <c r="AF893681" s="36"/>
    </row>
    <row r="893777" spans="31:32" x14ac:dyDescent="0.25">
      <c r="AE893777" s="34"/>
      <c r="AF893777" s="34"/>
    </row>
    <row r="893785" spans="31:32" x14ac:dyDescent="0.25">
      <c r="AE893785" s="36"/>
      <c r="AF893785" s="36"/>
    </row>
    <row r="893881" spans="31:32" x14ac:dyDescent="0.25">
      <c r="AE893881" s="34"/>
      <c r="AF893881" s="34"/>
    </row>
    <row r="893889" spans="31:32" x14ac:dyDescent="0.25">
      <c r="AE893889" s="36"/>
      <c r="AF893889" s="36"/>
    </row>
    <row r="893985" spans="31:32" x14ac:dyDescent="0.25">
      <c r="AE893985" s="34"/>
      <c r="AF893985" s="34"/>
    </row>
    <row r="893993" spans="31:32" x14ac:dyDescent="0.25">
      <c r="AE893993" s="36"/>
      <c r="AF893993" s="36"/>
    </row>
    <row r="894089" spans="31:32" x14ac:dyDescent="0.25">
      <c r="AE894089" s="34"/>
      <c r="AF894089" s="34"/>
    </row>
    <row r="894097" spans="31:32" x14ac:dyDescent="0.25">
      <c r="AE894097" s="36"/>
      <c r="AF894097" s="36"/>
    </row>
    <row r="894193" spans="31:32" x14ac:dyDescent="0.25">
      <c r="AE894193" s="34"/>
      <c r="AF894193" s="34"/>
    </row>
    <row r="894201" spans="31:32" x14ac:dyDescent="0.25">
      <c r="AE894201" s="36"/>
      <c r="AF894201" s="36"/>
    </row>
    <row r="894297" spans="31:32" x14ac:dyDescent="0.25">
      <c r="AE894297" s="34"/>
      <c r="AF894297" s="34"/>
    </row>
    <row r="894305" spans="31:32" x14ac:dyDescent="0.25">
      <c r="AE894305" s="36"/>
      <c r="AF894305" s="36"/>
    </row>
    <row r="894401" spans="31:32" x14ac:dyDescent="0.25">
      <c r="AE894401" s="34"/>
      <c r="AF894401" s="34"/>
    </row>
    <row r="894409" spans="31:32" x14ac:dyDescent="0.25">
      <c r="AE894409" s="36"/>
      <c r="AF894409" s="36"/>
    </row>
    <row r="894505" spans="31:32" x14ac:dyDescent="0.25">
      <c r="AE894505" s="34"/>
      <c r="AF894505" s="34"/>
    </row>
    <row r="894513" spans="31:32" x14ac:dyDescent="0.25">
      <c r="AE894513" s="36"/>
      <c r="AF894513" s="36"/>
    </row>
    <row r="894609" spans="31:32" x14ac:dyDescent="0.25">
      <c r="AE894609" s="34"/>
      <c r="AF894609" s="34"/>
    </row>
    <row r="894617" spans="31:32" x14ac:dyDescent="0.25">
      <c r="AE894617" s="36"/>
      <c r="AF894617" s="36"/>
    </row>
    <row r="894713" spans="31:32" x14ac:dyDescent="0.25">
      <c r="AE894713" s="34"/>
      <c r="AF894713" s="34"/>
    </row>
    <row r="894721" spans="31:32" x14ac:dyDescent="0.25">
      <c r="AE894721" s="36"/>
      <c r="AF894721" s="36"/>
    </row>
    <row r="894817" spans="31:32" x14ac:dyDescent="0.25">
      <c r="AE894817" s="34"/>
      <c r="AF894817" s="34"/>
    </row>
    <row r="894825" spans="31:32" x14ac:dyDescent="0.25">
      <c r="AE894825" s="36"/>
      <c r="AF894825" s="36"/>
    </row>
    <row r="894921" spans="31:32" x14ac:dyDescent="0.25">
      <c r="AE894921" s="34"/>
      <c r="AF894921" s="34"/>
    </row>
    <row r="894929" spans="31:32" x14ac:dyDescent="0.25">
      <c r="AE894929" s="36"/>
      <c r="AF894929" s="36"/>
    </row>
    <row r="895025" spans="31:32" x14ac:dyDescent="0.25">
      <c r="AE895025" s="34"/>
      <c r="AF895025" s="34"/>
    </row>
    <row r="895033" spans="31:32" x14ac:dyDescent="0.25">
      <c r="AE895033" s="36"/>
      <c r="AF895033" s="36"/>
    </row>
    <row r="895129" spans="31:32" x14ac:dyDescent="0.25">
      <c r="AE895129" s="34"/>
      <c r="AF895129" s="34"/>
    </row>
    <row r="895137" spans="31:32" x14ac:dyDescent="0.25">
      <c r="AE895137" s="36"/>
      <c r="AF895137" s="36"/>
    </row>
    <row r="895233" spans="31:32" x14ac:dyDescent="0.25">
      <c r="AE895233" s="34"/>
      <c r="AF895233" s="34"/>
    </row>
    <row r="895241" spans="31:32" x14ac:dyDescent="0.25">
      <c r="AE895241" s="36"/>
      <c r="AF895241" s="36"/>
    </row>
    <row r="895337" spans="31:32" x14ac:dyDescent="0.25">
      <c r="AE895337" s="34"/>
      <c r="AF895337" s="34"/>
    </row>
    <row r="895345" spans="31:32" x14ac:dyDescent="0.25">
      <c r="AE895345" s="36"/>
      <c r="AF895345" s="36"/>
    </row>
    <row r="895441" spans="31:32" x14ac:dyDescent="0.25">
      <c r="AE895441" s="34"/>
      <c r="AF895441" s="34"/>
    </row>
    <row r="895449" spans="31:32" x14ac:dyDescent="0.25">
      <c r="AE895449" s="36"/>
      <c r="AF895449" s="36"/>
    </row>
    <row r="895545" spans="31:32" x14ac:dyDescent="0.25">
      <c r="AE895545" s="34"/>
      <c r="AF895545" s="34"/>
    </row>
    <row r="895553" spans="31:32" x14ac:dyDescent="0.25">
      <c r="AE895553" s="36"/>
      <c r="AF895553" s="36"/>
    </row>
    <row r="895649" spans="31:32" x14ac:dyDescent="0.25">
      <c r="AE895649" s="34"/>
      <c r="AF895649" s="34"/>
    </row>
    <row r="895657" spans="31:32" x14ac:dyDescent="0.25">
      <c r="AE895657" s="36"/>
      <c r="AF895657" s="36"/>
    </row>
    <row r="895753" spans="31:32" x14ac:dyDescent="0.25">
      <c r="AE895753" s="34"/>
      <c r="AF895753" s="34"/>
    </row>
    <row r="895761" spans="31:32" x14ac:dyDescent="0.25">
      <c r="AE895761" s="36"/>
      <c r="AF895761" s="36"/>
    </row>
    <row r="895857" spans="31:32" x14ac:dyDescent="0.25">
      <c r="AE895857" s="34"/>
      <c r="AF895857" s="34"/>
    </row>
    <row r="895865" spans="31:32" x14ac:dyDescent="0.25">
      <c r="AE895865" s="36"/>
      <c r="AF895865" s="36"/>
    </row>
    <row r="895961" spans="31:32" x14ac:dyDescent="0.25">
      <c r="AE895961" s="34"/>
      <c r="AF895961" s="34"/>
    </row>
    <row r="895969" spans="31:32" x14ac:dyDescent="0.25">
      <c r="AE895969" s="36"/>
      <c r="AF895969" s="36"/>
    </row>
    <row r="896065" spans="31:32" x14ac:dyDescent="0.25">
      <c r="AE896065" s="34"/>
      <c r="AF896065" s="34"/>
    </row>
    <row r="896073" spans="31:32" x14ac:dyDescent="0.25">
      <c r="AE896073" s="36"/>
      <c r="AF896073" s="36"/>
    </row>
    <row r="896169" spans="31:32" x14ac:dyDescent="0.25">
      <c r="AE896169" s="34"/>
      <c r="AF896169" s="34"/>
    </row>
    <row r="896177" spans="31:32" x14ac:dyDescent="0.25">
      <c r="AE896177" s="36"/>
      <c r="AF896177" s="36"/>
    </row>
    <row r="896273" spans="31:32" x14ac:dyDescent="0.25">
      <c r="AE896273" s="34"/>
      <c r="AF896273" s="34"/>
    </row>
    <row r="896281" spans="31:32" x14ac:dyDescent="0.25">
      <c r="AE896281" s="36"/>
      <c r="AF896281" s="36"/>
    </row>
    <row r="896377" spans="31:32" x14ac:dyDescent="0.25">
      <c r="AE896377" s="34"/>
      <c r="AF896377" s="34"/>
    </row>
    <row r="896385" spans="31:32" x14ac:dyDescent="0.25">
      <c r="AE896385" s="36"/>
      <c r="AF896385" s="36"/>
    </row>
    <row r="896481" spans="31:32" x14ac:dyDescent="0.25">
      <c r="AE896481" s="34"/>
      <c r="AF896481" s="34"/>
    </row>
    <row r="896489" spans="31:32" x14ac:dyDescent="0.25">
      <c r="AE896489" s="36"/>
      <c r="AF896489" s="36"/>
    </row>
    <row r="896585" spans="31:32" x14ac:dyDescent="0.25">
      <c r="AE896585" s="34"/>
      <c r="AF896585" s="34"/>
    </row>
    <row r="896593" spans="31:32" x14ac:dyDescent="0.25">
      <c r="AE896593" s="36"/>
      <c r="AF896593" s="36"/>
    </row>
    <row r="896689" spans="31:32" x14ac:dyDescent="0.25">
      <c r="AE896689" s="34"/>
      <c r="AF896689" s="34"/>
    </row>
    <row r="896697" spans="31:32" x14ac:dyDescent="0.25">
      <c r="AE896697" s="36"/>
      <c r="AF896697" s="36"/>
    </row>
    <row r="896793" spans="31:32" x14ac:dyDescent="0.25">
      <c r="AE896793" s="34"/>
      <c r="AF896793" s="34"/>
    </row>
    <row r="896801" spans="31:32" x14ac:dyDescent="0.25">
      <c r="AE896801" s="36"/>
      <c r="AF896801" s="36"/>
    </row>
    <row r="896897" spans="31:32" x14ac:dyDescent="0.25">
      <c r="AE896897" s="34"/>
      <c r="AF896897" s="34"/>
    </row>
    <row r="896905" spans="31:32" x14ac:dyDescent="0.25">
      <c r="AE896905" s="36"/>
      <c r="AF896905" s="36"/>
    </row>
    <row r="897001" spans="31:32" x14ac:dyDescent="0.25">
      <c r="AE897001" s="34"/>
      <c r="AF897001" s="34"/>
    </row>
    <row r="897009" spans="31:32" x14ac:dyDescent="0.25">
      <c r="AE897009" s="36"/>
      <c r="AF897009" s="36"/>
    </row>
    <row r="897105" spans="31:32" x14ac:dyDescent="0.25">
      <c r="AE897105" s="34"/>
      <c r="AF897105" s="34"/>
    </row>
    <row r="897113" spans="31:32" x14ac:dyDescent="0.25">
      <c r="AE897113" s="36"/>
      <c r="AF897113" s="36"/>
    </row>
    <row r="897209" spans="31:32" x14ac:dyDescent="0.25">
      <c r="AE897209" s="34"/>
      <c r="AF897209" s="34"/>
    </row>
    <row r="897217" spans="31:32" x14ac:dyDescent="0.25">
      <c r="AE897217" s="36"/>
      <c r="AF897217" s="36"/>
    </row>
    <row r="897313" spans="31:32" x14ac:dyDescent="0.25">
      <c r="AE897313" s="34"/>
      <c r="AF897313" s="34"/>
    </row>
    <row r="897321" spans="31:32" x14ac:dyDescent="0.25">
      <c r="AE897321" s="36"/>
      <c r="AF897321" s="36"/>
    </row>
    <row r="897417" spans="31:32" x14ac:dyDescent="0.25">
      <c r="AE897417" s="34"/>
      <c r="AF897417" s="34"/>
    </row>
    <row r="897425" spans="31:32" x14ac:dyDescent="0.25">
      <c r="AE897425" s="36"/>
      <c r="AF897425" s="36"/>
    </row>
    <row r="897521" spans="31:32" x14ac:dyDescent="0.25">
      <c r="AE897521" s="34"/>
      <c r="AF897521" s="34"/>
    </row>
    <row r="897529" spans="31:32" x14ac:dyDescent="0.25">
      <c r="AE897529" s="36"/>
      <c r="AF897529" s="36"/>
    </row>
    <row r="897625" spans="31:32" x14ac:dyDescent="0.25">
      <c r="AE897625" s="34"/>
      <c r="AF897625" s="34"/>
    </row>
    <row r="897633" spans="31:32" x14ac:dyDescent="0.25">
      <c r="AE897633" s="36"/>
      <c r="AF897633" s="36"/>
    </row>
    <row r="897729" spans="31:32" x14ac:dyDescent="0.25">
      <c r="AE897729" s="34"/>
      <c r="AF897729" s="34"/>
    </row>
    <row r="897737" spans="31:32" x14ac:dyDescent="0.25">
      <c r="AE897737" s="36"/>
      <c r="AF897737" s="36"/>
    </row>
    <row r="897833" spans="31:32" x14ac:dyDescent="0.25">
      <c r="AE897833" s="34"/>
      <c r="AF897833" s="34"/>
    </row>
    <row r="897841" spans="31:32" x14ac:dyDescent="0.25">
      <c r="AE897841" s="36"/>
      <c r="AF897841" s="36"/>
    </row>
    <row r="897937" spans="31:32" x14ac:dyDescent="0.25">
      <c r="AE897937" s="34"/>
      <c r="AF897937" s="34"/>
    </row>
    <row r="897945" spans="31:32" x14ac:dyDescent="0.25">
      <c r="AE897945" s="36"/>
      <c r="AF897945" s="36"/>
    </row>
    <row r="898041" spans="31:32" x14ac:dyDescent="0.25">
      <c r="AE898041" s="34"/>
      <c r="AF898041" s="34"/>
    </row>
    <row r="898049" spans="31:32" x14ac:dyDescent="0.25">
      <c r="AE898049" s="36"/>
      <c r="AF898049" s="36"/>
    </row>
    <row r="898145" spans="31:32" x14ac:dyDescent="0.25">
      <c r="AE898145" s="34"/>
      <c r="AF898145" s="34"/>
    </row>
    <row r="898153" spans="31:32" x14ac:dyDescent="0.25">
      <c r="AE898153" s="36"/>
      <c r="AF898153" s="36"/>
    </row>
    <row r="898249" spans="31:32" x14ac:dyDescent="0.25">
      <c r="AE898249" s="34"/>
      <c r="AF898249" s="34"/>
    </row>
    <row r="898257" spans="31:32" x14ac:dyDescent="0.25">
      <c r="AE898257" s="36"/>
      <c r="AF898257" s="36"/>
    </row>
    <row r="898353" spans="31:32" x14ac:dyDescent="0.25">
      <c r="AE898353" s="34"/>
      <c r="AF898353" s="34"/>
    </row>
    <row r="898361" spans="31:32" x14ac:dyDescent="0.25">
      <c r="AE898361" s="36"/>
      <c r="AF898361" s="36"/>
    </row>
    <row r="898457" spans="31:32" x14ac:dyDescent="0.25">
      <c r="AE898457" s="34"/>
      <c r="AF898457" s="34"/>
    </row>
    <row r="898465" spans="31:32" x14ac:dyDescent="0.25">
      <c r="AE898465" s="36"/>
      <c r="AF898465" s="36"/>
    </row>
    <row r="898561" spans="31:32" x14ac:dyDescent="0.25">
      <c r="AE898561" s="34"/>
      <c r="AF898561" s="34"/>
    </row>
    <row r="898569" spans="31:32" x14ac:dyDescent="0.25">
      <c r="AE898569" s="36"/>
      <c r="AF898569" s="36"/>
    </row>
    <row r="898665" spans="31:32" x14ac:dyDescent="0.25">
      <c r="AE898665" s="34"/>
      <c r="AF898665" s="34"/>
    </row>
    <row r="898673" spans="31:32" x14ac:dyDescent="0.25">
      <c r="AE898673" s="36"/>
      <c r="AF898673" s="36"/>
    </row>
    <row r="898769" spans="31:32" x14ac:dyDescent="0.25">
      <c r="AE898769" s="34"/>
      <c r="AF898769" s="34"/>
    </row>
    <row r="898777" spans="31:32" x14ac:dyDescent="0.25">
      <c r="AE898777" s="36"/>
      <c r="AF898777" s="36"/>
    </row>
    <row r="898873" spans="31:32" x14ac:dyDescent="0.25">
      <c r="AE898873" s="34"/>
      <c r="AF898873" s="34"/>
    </row>
    <row r="898881" spans="31:32" x14ac:dyDescent="0.25">
      <c r="AE898881" s="36"/>
      <c r="AF898881" s="36"/>
    </row>
    <row r="898977" spans="31:32" x14ac:dyDescent="0.25">
      <c r="AE898977" s="34"/>
      <c r="AF898977" s="34"/>
    </row>
    <row r="898985" spans="31:32" x14ac:dyDescent="0.25">
      <c r="AE898985" s="36"/>
      <c r="AF898985" s="36"/>
    </row>
    <row r="899081" spans="31:32" x14ac:dyDescent="0.25">
      <c r="AE899081" s="34"/>
      <c r="AF899081" s="34"/>
    </row>
    <row r="899089" spans="31:32" x14ac:dyDescent="0.25">
      <c r="AE899089" s="36"/>
      <c r="AF899089" s="36"/>
    </row>
    <row r="899185" spans="31:32" x14ac:dyDescent="0.25">
      <c r="AE899185" s="34"/>
      <c r="AF899185" s="34"/>
    </row>
    <row r="899193" spans="31:32" x14ac:dyDescent="0.25">
      <c r="AE899193" s="36"/>
      <c r="AF899193" s="36"/>
    </row>
    <row r="899289" spans="31:32" x14ac:dyDescent="0.25">
      <c r="AE899289" s="34"/>
      <c r="AF899289" s="34"/>
    </row>
    <row r="899297" spans="31:32" x14ac:dyDescent="0.25">
      <c r="AE899297" s="36"/>
      <c r="AF899297" s="36"/>
    </row>
    <row r="899393" spans="31:32" x14ac:dyDescent="0.25">
      <c r="AE899393" s="34"/>
      <c r="AF899393" s="34"/>
    </row>
    <row r="899401" spans="31:32" x14ac:dyDescent="0.25">
      <c r="AE899401" s="36"/>
      <c r="AF899401" s="36"/>
    </row>
    <row r="899497" spans="31:32" x14ac:dyDescent="0.25">
      <c r="AE899497" s="34"/>
      <c r="AF899497" s="34"/>
    </row>
    <row r="899505" spans="31:32" x14ac:dyDescent="0.25">
      <c r="AE899505" s="36"/>
      <c r="AF899505" s="36"/>
    </row>
    <row r="899601" spans="31:32" x14ac:dyDescent="0.25">
      <c r="AE899601" s="34"/>
      <c r="AF899601" s="34"/>
    </row>
    <row r="899609" spans="31:32" x14ac:dyDescent="0.25">
      <c r="AE899609" s="36"/>
      <c r="AF899609" s="36"/>
    </row>
    <row r="899705" spans="31:32" x14ac:dyDescent="0.25">
      <c r="AE899705" s="34"/>
      <c r="AF899705" s="34"/>
    </row>
    <row r="899713" spans="31:32" x14ac:dyDescent="0.25">
      <c r="AE899713" s="36"/>
      <c r="AF899713" s="36"/>
    </row>
    <row r="899809" spans="31:32" x14ac:dyDescent="0.25">
      <c r="AE899809" s="34"/>
      <c r="AF899809" s="34"/>
    </row>
    <row r="899817" spans="31:32" x14ac:dyDescent="0.25">
      <c r="AE899817" s="36"/>
      <c r="AF899817" s="36"/>
    </row>
    <row r="899913" spans="31:32" x14ac:dyDescent="0.25">
      <c r="AE899913" s="34"/>
      <c r="AF899913" s="34"/>
    </row>
    <row r="899921" spans="31:32" x14ac:dyDescent="0.25">
      <c r="AE899921" s="36"/>
      <c r="AF899921" s="36"/>
    </row>
    <row r="900017" spans="31:32" x14ac:dyDescent="0.25">
      <c r="AE900017" s="34"/>
      <c r="AF900017" s="34"/>
    </row>
    <row r="900025" spans="31:32" x14ac:dyDescent="0.25">
      <c r="AE900025" s="36"/>
      <c r="AF900025" s="36"/>
    </row>
    <row r="900121" spans="31:32" x14ac:dyDescent="0.25">
      <c r="AE900121" s="34"/>
      <c r="AF900121" s="34"/>
    </row>
    <row r="900129" spans="31:32" x14ac:dyDescent="0.25">
      <c r="AE900129" s="36"/>
      <c r="AF900129" s="36"/>
    </row>
    <row r="900225" spans="31:32" x14ac:dyDescent="0.25">
      <c r="AE900225" s="34"/>
      <c r="AF900225" s="34"/>
    </row>
    <row r="900233" spans="31:32" x14ac:dyDescent="0.25">
      <c r="AE900233" s="36"/>
      <c r="AF900233" s="36"/>
    </row>
    <row r="900329" spans="31:32" x14ac:dyDescent="0.25">
      <c r="AE900329" s="34"/>
      <c r="AF900329" s="34"/>
    </row>
    <row r="900337" spans="31:32" x14ac:dyDescent="0.25">
      <c r="AE900337" s="36"/>
      <c r="AF900337" s="36"/>
    </row>
    <row r="900433" spans="31:32" x14ac:dyDescent="0.25">
      <c r="AE900433" s="34"/>
      <c r="AF900433" s="34"/>
    </row>
    <row r="900441" spans="31:32" x14ac:dyDescent="0.25">
      <c r="AE900441" s="36"/>
      <c r="AF900441" s="36"/>
    </row>
    <row r="900537" spans="31:32" x14ac:dyDescent="0.25">
      <c r="AE900537" s="34"/>
      <c r="AF900537" s="34"/>
    </row>
    <row r="900545" spans="31:32" x14ac:dyDescent="0.25">
      <c r="AE900545" s="36"/>
      <c r="AF900545" s="36"/>
    </row>
    <row r="900641" spans="31:32" x14ac:dyDescent="0.25">
      <c r="AE900641" s="34"/>
      <c r="AF900641" s="34"/>
    </row>
    <row r="900649" spans="31:32" x14ac:dyDescent="0.25">
      <c r="AE900649" s="36"/>
      <c r="AF900649" s="36"/>
    </row>
    <row r="900745" spans="31:32" x14ac:dyDescent="0.25">
      <c r="AE900745" s="34"/>
      <c r="AF900745" s="34"/>
    </row>
    <row r="900753" spans="31:32" x14ac:dyDescent="0.25">
      <c r="AE900753" s="36"/>
      <c r="AF900753" s="36"/>
    </row>
    <row r="900849" spans="31:32" x14ac:dyDescent="0.25">
      <c r="AE900849" s="34"/>
      <c r="AF900849" s="34"/>
    </row>
    <row r="900857" spans="31:32" x14ac:dyDescent="0.25">
      <c r="AE900857" s="36"/>
      <c r="AF900857" s="36"/>
    </row>
    <row r="900953" spans="31:32" x14ac:dyDescent="0.25">
      <c r="AE900953" s="34"/>
      <c r="AF900953" s="34"/>
    </row>
    <row r="900961" spans="31:32" x14ac:dyDescent="0.25">
      <c r="AE900961" s="36"/>
      <c r="AF900961" s="36"/>
    </row>
    <row r="901057" spans="31:32" x14ac:dyDescent="0.25">
      <c r="AE901057" s="34"/>
      <c r="AF901057" s="34"/>
    </row>
    <row r="901065" spans="31:32" x14ac:dyDescent="0.25">
      <c r="AE901065" s="36"/>
      <c r="AF901065" s="36"/>
    </row>
    <row r="901161" spans="31:32" x14ac:dyDescent="0.25">
      <c r="AE901161" s="34"/>
      <c r="AF901161" s="34"/>
    </row>
    <row r="901169" spans="31:32" x14ac:dyDescent="0.25">
      <c r="AE901169" s="36"/>
      <c r="AF901169" s="36"/>
    </row>
    <row r="901265" spans="31:32" x14ac:dyDescent="0.25">
      <c r="AE901265" s="34"/>
      <c r="AF901265" s="34"/>
    </row>
    <row r="901273" spans="31:32" x14ac:dyDescent="0.25">
      <c r="AE901273" s="36"/>
      <c r="AF901273" s="36"/>
    </row>
    <row r="901369" spans="31:32" x14ac:dyDescent="0.25">
      <c r="AE901369" s="34"/>
      <c r="AF901369" s="34"/>
    </row>
    <row r="901377" spans="31:32" x14ac:dyDescent="0.25">
      <c r="AE901377" s="36"/>
      <c r="AF901377" s="36"/>
    </row>
    <row r="901473" spans="31:32" x14ac:dyDescent="0.25">
      <c r="AE901473" s="34"/>
      <c r="AF901473" s="34"/>
    </row>
    <row r="901481" spans="31:32" x14ac:dyDescent="0.25">
      <c r="AE901481" s="36"/>
      <c r="AF901481" s="36"/>
    </row>
    <row r="901577" spans="31:32" x14ac:dyDescent="0.25">
      <c r="AE901577" s="34"/>
      <c r="AF901577" s="34"/>
    </row>
    <row r="901585" spans="31:32" x14ac:dyDescent="0.25">
      <c r="AE901585" s="36"/>
      <c r="AF901585" s="36"/>
    </row>
    <row r="901681" spans="31:32" x14ac:dyDescent="0.25">
      <c r="AE901681" s="34"/>
      <c r="AF901681" s="34"/>
    </row>
    <row r="901689" spans="31:32" x14ac:dyDescent="0.25">
      <c r="AE901689" s="36"/>
      <c r="AF901689" s="36"/>
    </row>
    <row r="901785" spans="31:32" x14ac:dyDescent="0.25">
      <c r="AE901785" s="34"/>
      <c r="AF901785" s="34"/>
    </row>
    <row r="901793" spans="31:32" x14ac:dyDescent="0.25">
      <c r="AE901793" s="36"/>
      <c r="AF901793" s="36"/>
    </row>
    <row r="901889" spans="31:32" x14ac:dyDescent="0.25">
      <c r="AE901889" s="34"/>
      <c r="AF901889" s="34"/>
    </row>
    <row r="901897" spans="31:32" x14ac:dyDescent="0.25">
      <c r="AE901897" s="36"/>
      <c r="AF901897" s="36"/>
    </row>
    <row r="901993" spans="31:32" x14ac:dyDescent="0.25">
      <c r="AE901993" s="34"/>
      <c r="AF901993" s="34"/>
    </row>
    <row r="902001" spans="31:32" x14ac:dyDescent="0.25">
      <c r="AE902001" s="36"/>
      <c r="AF902001" s="36"/>
    </row>
    <row r="902097" spans="31:32" x14ac:dyDescent="0.25">
      <c r="AE902097" s="34"/>
      <c r="AF902097" s="34"/>
    </row>
    <row r="902105" spans="31:32" x14ac:dyDescent="0.25">
      <c r="AE902105" s="36"/>
      <c r="AF902105" s="36"/>
    </row>
    <row r="902201" spans="31:32" x14ac:dyDescent="0.25">
      <c r="AE902201" s="34"/>
      <c r="AF902201" s="34"/>
    </row>
    <row r="902209" spans="31:32" x14ac:dyDescent="0.25">
      <c r="AE902209" s="36"/>
      <c r="AF902209" s="36"/>
    </row>
    <row r="902305" spans="31:32" x14ac:dyDescent="0.25">
      <c r="AE902305" s="34"/>
      <c r="AF902305" s="34"/>
    </row>
    <row r="902313" spans="31:32" x14ac:dyDescent="0.25">
      <c r="AE902313" s="36"/>
      <c r="AF902313" s="36"/>
    </row>
    <row r="902409" spans="31:32" x14ac:dyDescent="0.25">
      <c r="AE902409" s="34"/>
      <c r="AF902409" s="34"/>
    </row>
    <row r="902417" spans="31:32" x14ac:dyDescent="0.25">
      <c r="AE902417" s="36"/>
      <c r="AF902417" s="36"/>
    </row>
    <row r="902513" spans="31:32" x14ac:dyDescent="0.25">
      <c r="AE902513" s="34"/>
      <c r="AF902513" s="34"/>
    </row>
    <row r="902521" spans="31:32" x14ac:dyDescent="0.25">
      <c r="AE902521" s="36"/>
      <c r="AF902521" s="36"/>
    </row>
    <row r="902617" spans="31:32" x14ac:dyDescent="0.25">
      <c r="AE902617" s="34"/>
      <c r="AF902617" s="34"/>
    </row>
    <row r="902625" spans="31:32" x14ac:dyDescent="0.25">
      <c r="AE902625" s="36"/>
      <c r="AF902625" s="36"/>
    </row>
    <row r="902721" spans="31:32" x14ac:dyDescent="0.25">
      <c r="AE902721" s="34"/>
      <c r="AF902721" s="34"/>
    </row>
    <row r="902729" spans="31:32" x14ac:dyDescent="0.25">
      <c r="AE902729" s="36"/>
      <c r="AF902729" s="36"/>
    </row>
    <row r="902825" spans="31:32" x14ac:dyDescent="0.25">
      <c r="AE902825" s="34"/>
      <c r="AF902825" s="34"/>
    </row>
    <row r="902833" spans="31:32" x14ac:dyDescent="0.25">
      <c r="AE902833" s="36"/>
      <c r="AF902833" s="36"/>
    </row>
    <row r="902929" spans="31:32" x14ac:dyDescent="0.25">
      <c r="AE902929" s="34"/>
      <c r="AF902929" s="34"/>
    </row>
    <row r="902937" spans="31:32" x14ac:dyDescent="0.25">
      <c r="AE902937" s="36"/>
      <c r="AF902937" s="36"/>
    </row>
    <row r="903033" spans="31:32" x14ac:dyDescent="0.25">
      <c r="AE903033" s="34"/>
      <c r="AF903033" s="34"/>
    </row>
    <row r="903041" spans="31:32" x14ac:dyDescent="0.25">
      <c r="AE903041" s="36"/>
      <c r="AF903041" s="36"/>
    </row>
    <row r="903137" spans="31:32" x14ac:dyDescent="0.25">
      <c r="AE903137" s="34"/>
      <c r="AF903137" s="34"/>
    </row>
    <row r="903145" spans="31:32" x14ac:dyDescent="0.25">
      <c r="AE903145" s="36"/>
      <c r="AF903145" s="36"/>
    </row>
    <row r="903241" spans="31:32" x14ac:dyDescent="0.25">
      <c r="AE903241" s="34"/>
      <c r="AF903241" s="34"/>
    </row>
    <row r="903249" spans="31:32" x14ac:dyDescent="0.25">
      <c r="AE903249" s="36"/>
      <c r="AF903249" s="36"/>
    </row>
    <row r="903345" spans="31:32" x14ac:dyDescent="0.25">
      <c r="AE903345" s="34"/>
      <c r="AF903345" s="34"/>
    </row>
    <row r="903353" spans="31:32" x14ac:dyDescent="0.25">
      <c r="AE903353" s="36"/>
      <c r="AF903353" s="36"/>
    </row>
    <row r="903449" spans="31:32" x14ac:dyDescent="0.25">
      <c r="AE903449" s="34"/>
      <c r="AF903449" s="34"/>
    </row>
    <row r="903457" spans="31:32" x14ac:dyDescent="0.25">
      <c r="AE903457" s="36"/>
      <c r="AF903457" s="36"/>
    </row>
    <row r="903553" spans="31:32" x14ac:dyDescent="0.25">
      <c r="AE903553" s="34"/>
      <c r="AF903553" s="34"/>
    </row>
    <row r="903561" spans="31:32" x14ac:dyDescent="0.25">
      <c r="AE903561" s="36"/>
      <c r="AF903561" s="36"/>
    </row>
    <row r="903657" spans="31:32" x14ac:dyDescent="0.25">
      <c r="AE903657" s="34"/>
      <c r="AF903657" s="34"/>
    </row>
    <row r="903665" spans="31:32" x14ac:dyDescent="0.25">
      <c r="AE903665" s="36"/>
      <c r="AF903665" s="36"/>
    </row>
    <row r="903761" spans="31:32" x14ac:dyDescent="0.25">
      <c r="AE903761" s="34"/>
      <c r="AF903761" s="34"/>
    </row>
    <row r="903769" spans="31:32" x14ac:dyDescent="0.25">
      <c r="AE903769" s="36"/>
      <c r="AF903769" s="36"/>
    </row>
    <row r="903865" spans="31:32" x14ac:dyDescent="0.25">
      <c r="AE903865" s="34"/>
      <c r="AF903865" s="34"/>
    </row>
    <row r="903873" spans="31:32" x14ac:dyDescent="0.25">
      <c r="AE903873" s="36"/>
      <c r="AF903873" s="36"/>
    </row>
    <row r="903969" spans="31:32" x14ac:dyDescent="0.25">
      <c r="AE903969" s="34"/>
      <c r="AF903969" s="34"/>
    </row>
    <row r="903977" spans="31:32" x14ac:dyDescent="0.25">
      <c r="AE903977" s="36"/>
      <c r="AF903977" s="36"/>
    </row>
    <row r="904073" spans="31:32" x14ac:dyDescent="0.25">
      <c r="AE904073" s="34"/>
      <c r="AF904073" s="34"/>
    </row>
    <row r="904081" spans="31:32" x14ac:dyDescent="0.25">
      <c r="AE904081" s="36"/>
      <c r="AF904081" s="36"/>
    </row>
    <row r="904177" spans="31:32" x14ac:dyDescent="0.25">
      <c r="AE904177" s="34"/>
      <c r="AF904177" s="34"/>
    </row>
    <row r="904185" spans="31:32" x14ac:dyDescent="0.25">
      <c r="AE904185" s="36"/>
      <c r="AF904185" s="36"/>
    </row>
    <row r="904281" spans="31:32" x14ac:dyDescent="0.25">
      <c r="AE904281" s="34"/>
      <c r="AF904281" s="34"/>
    </row>
    <row r="904289" spans="31:32" x14ac:dyDescent="0.25">
      <c r="AE904289" s="36"/>
      <c r="AF904289" s="36"/>
    </row>
    <row r="904385" spans="31:32" x14ac:dyDescent="0.25">
      <c r="AE904385" s="34"/>
      <c r="AF904385" s="34"/>
    </row>
    <row r="904393" spans="31:32" x14ac:dyDescent="0.25">
      <c r="AE904393" s="36"/>
      <c r="AF904393" s="36"/>
    </row>
    <row r="904489" spans="31:32" x14ac:dyDescent="0.25">
      <c r="AE904489" s="34"/>
      <c r="AF904489" s="34"/>
    </row>
    <row r="904497" spans="31:32" x14ac:dyDescent="0.25">
      <c r="AE904497" s="36"/>
      <c r="AF904497" s="36"/>
    </row>
    <row r="904593" spans="31:32" x14ac:dyDescent="0.25">
      <c r="AE904593" s="34"/>
      <c r="AF904593" s="34"/>
    </row>
    <row r="904601" spans="31:32" x14ac:dyDescent="0.25">
      <c r="AE904601" s="36"/>
      <c r="AF904601" s="36"/>
    </row>
    <row r="904697" spans="31:32" x14ac:dyDescent="0.25">
      <c r="AE904697" s="34"/>
      <c r="AF904697" s="34"/>
    </row>
    <row r="904705" spans="31:32" x14ac:dyDescent="0.25">
      <c r="AE904705" s="36"/>
      <c r="AF904705" s="36"/>
    </row>
    <row r="904801" spans="31:32" x14ac:dyDescent="0.25">
      <c r="AE904801" s="34"/>
      <c r="AF904801" s="34"/>
    </row>
    <row r="904809" spans="31:32" x14ac:dyDescent="0.25">
      <c r="AE904809" s="36"/>
      <c r="AF904809" s="36"/>
    </row>
    <row r="904905" spans="31:32" x14ac:dyDescent="0.25">
      <c r="AE904905" s="34"/>
      <c r="AF904905" s="34"/>
    </row>
    <row r="904913" spans="31:32" x14ac:dyDescent="0.25">
      <c r="AE904913" s="36"/>
      <c r="AF904913" s="36"/>
    </row>
    <row r="905009" spans="31:32" x14ac:dyDescent="0.25">
      <c r="AE905009" s="34"/>
      <c r="AF905009" s="34"/>
    </row>
    <row r="905017" spans="31:32" x14ac:dyDescent="0.25">
      <c r="AE905017" s="36"/>
      <c r="AF905017" s="36"/>
    </row>
    <row r="905113" spans="31:32" x14ac:dyDescent="0.25">
      <c r="AE905113" s="34"/>
      <c r="AF905113" s="34"/>
    </row>
    <row r="905121" spans="31:32" x14ac:dyDescent="0.25">
      <c r="AE905121" s="36"/>
      <c r="AF905121" s="36"/>
    </row>
    <row r="905217" spans="31:32" x14ac:dyDescent="0.25">
      <c r="AE905217" s="34"/>
      <c r="AF905217" s="34"/>
    </row>
    <row r="905225" spans="31:32" x14ac:dyDescent="0.25">
      <c r="AE905225" s="36"/>
      <c r="AF905225" s="36"/>
    </row>
    <row r="905321" spans="31:32" x14ac:dyDescent="0.25">
      <c r="AE905321" s="34"/>
      <c r="AF905321" s="34"/>
    </row>
    <row r="905329" spans="31:32" x14ac:dyDescent="0.25">
      <c r="AE905329" s="36"/>
      <c r="AF905329" s="36"/>
    </row>
    <row r="905425" spans="31:32" x14ac:dyDescent="0.25">
      <c r="AE905425" s="34"/>
      <c r="AF905425" s="34"/>
    </row>
    <row r="905433" spans="31:32" x14ac:dyDescent="0.25">
      <c r="AE905433" s="36"/>
      <c r="AF905433" s="36"/>
    </row>
    <row r="905529" spans="31:32" x14ac:dyDescent="0.25">
      <c r="AE905529" s="34"/>
      <c r="AF905529" s="34"/>
    </row>
    <row r="905537" spans="31:32" x14ac:dyDescent="0.25">
      <c r="AE905537" s="36"/>
      <c r="AF905537" s="36"/>
    </row>
    <row r="905633" spans="31:32" x14ac:dyDescent="0.25">
      <c r="AE905633" s="34"/>
      <c r="AF905633" s="34"/>
    </row>
    <row r="905641" spans="31:32" x14ac:dyDescent="0.25">
      <c r="AE905641" s="36"/>
      <c r="AF905641" s="36"/>
    </row>
    <row r="905737" spans="31:32" x14ac:dyDescent="0.25">
      <c r="AE905737" s="34"/>
      <c r="AF905737" s="34"/>
    </row>
    <row r="905745" spans="31:32" x14ac:dyDescent="0.25">
      <c r="AE905745" s="36"/>
      <c r="AF905745" s="36"/>
    </row>
    <row r="905841" spans="31:32" x14ac:dyDescent="0.25">
      <c r="AE905841" s="34"/>
      <c r="AF905841" s="34"/>
    </row>
    <row r="905849" spans="31:32" x14ac:dyDescent="0.25">
      <c r="AE905849" s="36"/>
      <c r="AF905849" s="36"/>
    </row>
    <row r="905945" spans="31:32" x14ac:dyDescent="0.25">
      <c r="AE905945" s="34"/>
      <c r="AF905945" s="34"/>
    </row>
    <row r="905953" spans="31:32" x14ac:dyDescent="0.25">
      <c r="AE905953" s="36"/>
      <c r="AF905953" s="36"/>
    </row>
    <row r="906049" spans="31:32" x14ac:dyDescent="0.25">
      <c r="AE906049" s="34"/>
      <c r="AF906049" s="34"/>
    </row>
    <row r="906057" spans="31:32" x14ac:dyDescent="0.25">
      <c r="AE906057" s="36"/>
      <c r="AF906057" s="36"/>
    </row>
    <row r="906153" spans="31:32" x14ac:dyDescent="0.25">
      <c r="AE906153" s="34"/>
      <c r="AF906153" s="34"/>
    </row>
    <row r="906161" spans="31:32" x14ac:dyDescent="0.25">
      <c r="AE906161" s="36"/>
      <c r="AF906161" s="36"/>
    </row>
    <row r="906257" spans="31:32" x14ac:dyDescent="0.25">
      <c r="AE906257" s="34"/>
      <c r="AF906257" s="34"/>
    </row>
    <row r="906265" spans="31:32" x14ac:dyDescent="0.25">
      <c r="AE906265" s="36"/>
      <c r="AF906265" s="36"/>
    </row>
    <row r="906361" spans="31:32" x14ac:dyDescent="0.25">
      <c r="AE906361" s="34"/>
      <c r="AF906361" s="34"/>
    </row>
    <row r="906369" spans="31:32" x14ac:dyDescent="0.25">
      <c r="AE906369" s="36"/>
      <c r="AF906369" s="36"/>
    </row>
    <row r="906465" spans="31:32" x14ac:dyDescent="0.25">
      <c r="AE906465" s="34"/>
      <c r="AF906465" s="34"/>
    </row>
    <row r="906473" spans="31:32" x14ac:dyDescent="0.25">
      <c r="AE906473" s="36"/>
      <c r="AF906473" s="36"/>
    </row>
    <row r="906569" spans="31:32" x14ac:dyDescent="0.25">
      <c r="AE906569" s="34"/>
      <c r="AF906569" s="34"/>
    </row>
    <row r="906577" spans="31:32" x14ac:dyDescent="0.25">
      <c r="AE906577" s="36"/>
      <c r="AF906577" s="36"/>
    </row>
    <row r="906673" spans="31:32" x14ac:dyDescent="0.25">
      <c r="AE906673" s="34"/>
      <c r="AF906673" s="34"/>
    </row>
    <row r="906681" spans="31:32" x14ac:dyDescent="0.25">
      <c r="AE906681" s="36"/>
      <c r="AF906681" s="36"/>
    </row>
    <row r="906777" spans="31:32" x14ac:dyDescent="0.25">
      <c r="AE906777" s="34"/>
      <c r="AF906777" s="34"/>
    </row>
    <row r="906785" spans="31:32" x14ac:dyDescent="0.25">
      <c r="AE906785" s="36"/>
      <c r="AF906785" s="36"/>
    </row>
    <row r="906881" spans="31:32" x14ac:dyDescent="0.25">
      <c r="AE906881" s="34"/>
      <c r="AF906881" s="34"/>
    </row>
    <row r="906889" spans="31:32" x14ac:dyDescent="0.25">
      <c r="AE906889" s="36"/>
      <c r="AF906889" s="36"/>
    </row>
    <row r="906985" spans="31:32" x14ac:dyDescent="0.25">
      <c r="AE906985" s="34"/>
      <c r="AF906985" s="34"/>
    </row>
    <row r="906993" spans="31:32" x14ac:dyDescent="0.25">
      <c r="AE906993" s="36"/>
      <c r="AF906993" s="36"/>
    </row>
    <row r="907089" spans="31:32" x14ac:dyDescent="0.25">
      <c r="AE907089" s="34"/>
      <c r="AF907089" s="34"/>
    </row>
    <row r="907097" spans="31:32" x14ac:dyDescent="0.25">
      <c r="AE907097" s="36"/>
      <c r="AF907097" s="36"/>
    </row>
    <row r="907193" spans="31:32" x14ac:dyDescent="0.25">
      <c r="AE907193" s="34"/>
      <c r="AF907193" s="34"/>
    </row>
    <row r="907201" spans="31:32" x14ac:dyDescent="0.25">
      <c r="AE907201" s="36"/>
      <c r="AF907201" s="36"/>
    </row>
    <row r="907297" spans="31:32" x14ac:dyDescent="0.25">
      <c r="AE907297" s="34"/>
      <c r="AF907297" s="34"/>
    </row>
    <row r="907305" spans="31:32" x14ac:dyDescent="0.25">
      <c r="AE907305" s="36"/>
      <c r="AF907305" s="36"/>
    </row>
    <row r="907401" spans="31:32" x14ac:dyDescent="0.25">
      <c r="AE907401" s="34"/>
      <c r="AF907401" s="34"/>
    </row>
    <row r="907409" spans="31:32" x14ac:dyDescent="0.25">
      <c r="AE907409" s="36"/>
      <c r="AF907409" s="36"/>
    </row>
    <row r="907505" spans="31:32" x14ac:dyDescent="0.25">
      <c r="AE907505" s="34"/>
      <c r="AF907505" s="34"/>
    </row>
    <row r="907513" spans="31:32" x14ac:dyDescent="0.25">
      <c r="AE907513" s="36"/>
      <c r="AF907513" s="36"/>
    </row>
    <row r="907609" spans="31:32" x14ac:dyDescent="0.25">
      <c r="AE907609" s="34"/>
      <c r="AF907609" s="34"/>
    </row>
    <row r="907617" spans="31:32" x14ac:dyDescent="0.25">
      <c r="AE907617" s="36"/>
      <c r="AF907617" s="36"/>
    </row>
    <row r="907713" spans="31:32" x14ac:dyDescent="0.25">
      <c r="AE907713" s="34"/>
      <c r="AF907713" s="34"/>
    </row>
    <row r="907721" spans="31:32" x14ac:dyDescent="0.25">
      <c r="AE907721" s="36"/>
      <c r="AF907721" s="36"/>
    </row>
    <row r="907817" spans="31:32" x14ac:dyDescent="0.25">
      <c r="AE907817" s="34"/>
      <c r="AF907817" s="34"/>
    </row>
    <row r="907825" spans="31:32" x14ac:dyDescent="0.25">
      <c r="AE907825" s="36"/>
      <c r="AF907825" s="36"/>
    </row>
    <row r="907921" spans="31:32" x14ac:dyDescent="0.25">
      <c r="AE907921" s="34"/>
      <c r="AF907921" s="34"/>
    </row>
    <row r="907929" spans="31:32" x14ac:dyDescent="0.25">
      <c r="AE907929" s="36"/>
      <c r="AF907929" s="36"/>
    </row>
    <row r="908025" spans="31:32" x14ac:dyDescent="0.25">
      <c r="AE908025" s="34"/>
      <c r="AF908025" s="34"/>
    </row>
    <row r="908033" spans="31:32" x14ac:dyDescent="0.25">
      <c r="AE908033" s="36"/>
      <c r="AF908033" s="36"/>
    </row>
    <row r="908129" spans="31:32" x14ac:dyDescent="0.25">
      <c r="AE908129" s="34"/>
      <c r="AF908129" s="34"/>
    </row>
    <row r="908137" spans="31:32" x14ac:dyDescent="0.25">
      <c r="AE908137" s="36"/>
      <c r="AF908137" s="36"/>
    </row>
    <row r="908233" spans="31:32" x14ac:dyDescent="0.25">
      <c r="AE908233" s="34"/>
      <c r="AF908233" s="34"/>
    </row>
    <row r="908241" spans="31:32" x14ac:dyDescent="0.25">
      <c r="AE908241" s="36"/>
      <c r="AF908241" s="36"/>
    </row>
    <row r="908337" spans="31:32" x14ac:dyDescent="0.25">
      <c r="AE908337" s="34"/>
      <c r="AF908337" s="34"/>
    </row>
    <row r="908345" spans="31:32" x14ac:dyDescent="0.25">
      <c r="AE908345" s="36"/>
      <c r="AF908345" s="36"/>
    </row>
    <row r="908441" spans="31:32" x14ac:dyDescent="0.25">
      <c r="AE908441" s="34"/>
      <c r="AF908441" s="34"/>
    </row>
    <row r="908449" spans="31:32" x14ac:dyDescent="0.25">
      <c r="AE908449" s="36"/>
      <c r="AF908449" s="36"/>
    </row>
    <row r="908545" spans="31:32" x14ac:dyDescent="0.25">
      <c r="AE908545" s="34"/>
      <c r="AF908545" s="34"/>
    </row>
    <row r="908553" spans="31:32" x14ac:dyDescent="0.25">
      <c r="AE908553" s="36"/>
      <c r="AF908553" s="36"/>
    </row>
    <row r="908649" spans="31:32" x14ac:dyDescent="0.25">
      <c r="AE908649" s="34"/>
      <c r="AF908649" s="34"/>
    </row>
    <row r="908657" spans="31:32" x14ac:dyDescent="0.25">
      <c r="AE908657" s="36"/>
      <c r="AF908657" s="36"/>
    </row>
    <row r="908753" spans="31:32" x14ac:dyDescent="0.25">
      <c r="AE908753" s="34"/>
      <c r="AF908753" s="34"/>
    </row>
    <row r="908761" spans="31:32" x14ac:dyDescent="0.25">
      <c r="AE908761" s="36"/>
      <c r="AF908761" s="36"/>
    </row>
    <row r="908857" spans="31:32" x14ac:dyDescent="0.25">
      <c r="AE908857" s="34"/>
      <c r="AF908857" s="34"/>
    </row>
    <row r="908865" spans="31:32" x14ac:dyDescent="0.25">
      <c r="AE908865" s="36"/>
      <c r="AF908865" s="36"/>
    </row>
    <row r="908961" spans="31:32" x14ac:dyDescent="0.25">
      <c r="AE908961" s="34"/>
      <c r="AF908961" s="34"/>
    </row>
    <row r="908969" spans="31:32" x14ac:dyDescent="0.25">
      <c r="AE908969" s="36"/>
      <c r="AF908969" s="36"/>
    </row>
    <row r="909065" spans="31:32" x14ac:dyDescent="0.25">
      <c r="AE909065" s="34"/>
      <c r="AF909065" s="34"/>
    </row>
    <row r="909073" spans="31:32" x14ac:dyDescent="0.25">
      <c r="AE909073" s="36"/>
      <c r="AF909073" s="36"/>
    </row>
    <row r="909169" spans="31:32" x14ac:dyDescent="0.25">
      <c r="AE909169" s="34"/>
      <c r="AF909169" s="34"/>
    </row>
    <row r="909177" spans="31:32" x14ac:dyDescent="0.25">
      <c r="AE909177" s="36"/>
      <c r="AF909177" s="36"/>
    </row>
    <row r="909273" spans="31:32" x14ac:dyDescent="0.25">
      <c r="AE909273" s="34"/>
      <c r="AF909273" s="34"/>
    </row>
    <row r="909281" spans="31:32" x14ac:dyDescent="0.25">
      <c r="AE909281" s="36"/>
      <c r="AF909281" s="36"/>
    </row>
    <row r="909377" spans="31:32" x14ac:dyDescent="0.25">
      <c r="AE909377" s="34"/>
      <c r="AF909377" s="34"/>
    </row>
    <row r="909385" spans="31:32" x14ac:dyDescent="0.25">
      <c r="AE909385" s="36"/>
      <c r="AF909385" s="36"/>
    </row>
    <row r="909481" spans="31:32" x14ac:dyDescent="0.25">
      <c r="AE909481" s="34"/>
      <c r="AF909481" s="34"/>
    </row>
    <row r="909489" spans="31:32" x14ac:dyDescent="0.25">
      <c r="AE909489" s="36"/>
      <c r="AF909489" s="36"/>
    </row>
    <row r="909585" spans="31:32" x14ac:dyDescent="0.25">
      <c r="AE909585" s="34"/>
      <c r="AF909585" s="34"/>
    </row>
    <row r="909593" spans="31:32" x14ac:dyDescent="0.25">
      <c r="AE909593" s="36"/>
      <c r="AF909593" s="36"/>
    </row>
    <row r="909689" spans="31:32" x14ac:dyDescent="0.25">
      <c r="AE909689" s="34"/>
      <c r="AF909689" s="34"/>
    </row>
    <row r="909697" spans="31:32" x14ac:dyDescent="0.25">
      <c r="AE909697" s="36"/>
      <c r="AF909697" s="36"/>
    </row>
    <row r="909793" spans="31:32" x14ac:dyDescent="0.25">
      <c r="AE909793" s="34"/>
      <c r="AF909793" s="34"/>
    </row>
    <row r="909801" spans="31:32" x14ac:dyDescent="0.25">
      <c r="AE909801" s="36"/>
      <c r="AF909801" s="36"/>
    </row>
    <row r="909897" spans="31:32" x14ac:dyDescent="0.25">
      <c r="AE909897" s="34"/>
      <c r="AF909897" s="34"/>
    </row>
    <row r="909905" spans="31:32" x14ac:dyDescent="0.25">
      <c r="AE909905" s="36"/>
      <c r="AF909905" s="36"/>
    </row>
    <row r="910001" spans="31:32" x14ac:dyDescent="0.25">
      <c r="AE910001" s="34"/>
      <c r="AF910001" s="34"/>
    </row>
    <row r="910009" spans="31:32" x14ac:dyDescent="0.25">
      <c r="AE910009" s="36"/>
      <c r="AF910009" s="36"/>
    </row>
    <row r="910105" spans="31:32" x14ac:dyDescent="0.25">
      <c r="AE910105" s="34"/>
      <c r="AF910105" s="34"/>
    </row>
    <row r="910113" spans="31:32" x14ac:dyDescent="0.25">
      <c r="AE910113" s="36"/>
      <c r="AF910113" s="36"/>
    </row>
    <row r="910209" spans="31:32" x14ac:dyDescent="0.25">
      <c r="AE910209" s="34"/>
      <c r="AF910209" s="34"/>
    </row>
    <row r="910217" spans="31:32" x14ac:dyDescent="0.25">
      <c r="AE910217" s="36"/>
      <c r="AF910217" s="36"/>
    </row>
    <row r="910313" spans="31:32" x14ac:dyDescent="0.25">
      <c r="AE910313" s="34"/>
      <c r="AF910313" s="34"/>
    </row>
    <row r="910321" spans="31:32" x14ac:dyDescent="0.25">
      <c r="AE910321" s="36"/>
      <c r="AF910321" s="36"/>
    </row>
    <row r="910417" spans="31:32" x14ac:dyDescent="0.25">
      <c r="AE910417" s="34"/>
      <c r="AF910417" s="34"/>
    </row>
    <row r="910425" spans="31:32" x14ac:dyDescent="0.25">
      <c r="AE910425" s="36"/>
      <c r="AF910425" s="36"/>
    </row>
    <row r="910521" spans="31:32" x14ac:dyDescent="0.25">
      <c r="AE910521" s="34"/>
      <c r="AF910521" s="34"/>
    </row>
    <row r="910529" spans="31:32" x14ac:dyDescent="0.25">
      <c r="AE910529" s="36"/>
      <c r="AF910529" s="36"/>
    </row>
    <row r="910625" spans="31:32" x14ac:dyDescent="0.25">
      <c r="AE910625" s="34"/>
      <c r="AF910625" s="34"/>
    </row>
    <row r="910633" spans="31:32" x14ac:dyDescent="0.25">
      <c r="AE910633" s="36"/>
      <c r="AF910633" s="36"/>
    </row>
    <row r="910729" spans="31:32" x14ac:dyDescent="0.25">
      <c r="AE910729" s="34"/>
      <c r="AF910729" s="34"/>
    </row>
    <row r="910737" spans="31:32" x14ac:dyDescent="0.25">
      <c r="AE910737" s="36"/>
      <c r="AF910737" s="36"/>
    </row>
    <row r="910833" spans="31:32" x14ac:dyDescent="0.25">
      <c r="AE910833" s="34"/>
      <c r="AF910833" s="34"/>
    </row>
    <row r="910841" spans="31:32" x14ac:dyDescent="0.25">
      <c r="AE910841" s="36"/>
      <c r="AF910841" s="36"/>
    </row>
    <row r="910937" spans="31:32" x14ac:dyDescent="0.25">
      <c r="AE910937" s="34"/>
      <c r="AF910937" s="34"/>
    </row>
    <row r="910945" spans="31:32" x14ac:dyDescent="0.25">
      <c r="AE910945" s="36"/>
      <c r="AF910945" s="36"/>
    </row>
    <row r="911041" spans="31:32" x14ac:dyDescent="0.25">
      <c r="AE911041" s="34"/>
      <c r="AF911041" s="34"/>
    </row>
    <row r="911049" spans="31:32" x14ac:dyDescent="0.25">
      <c r="AE911049" s="36"/>
      <c r="AF911049" s="36"/>
    </row>
    <row r="911145" spans="31:32" x14ac:dyDescent="0.25">
      <c r="AE911145" s="34"/>
      <c r="AF911145" s="34"/>
    </row>
    <row r="911153" spans="31:32" x14ac:dyDescent="0.25">
      <c r="AE911153" s="36"/>
      <c r="AF911153" s="36"/>
    </row>
    <row r="911249" spans="31:32" x14ac:dyDescent="0.25">
      <c r="AE911249" s="34"/>
      <c r="AF911249" s="34"/>
    </row>
    <row r="911257" spans="31:32" x14ac:dyDescent="0.25">
      <c r="AE911257" s="36"/>
      <c r="AF911257" s="36"/>
    </row>
    <row r="911353" spans="31:32" x14ac:dyDescent="0.25">
      <c r="AE911353" s="34"/>
      <c r="AF911353" s="34"/>
    </row>
    <row r="911361" spans="31:32" x14ac:dyDescent="0.25">
      <c r="AE911361" s="36"/>
      <c r="AF911361" s="36"/>
    </row>
    <row r="911457" spans="31:32" x14ac:dyDescent="0.25">
      <c r="AE911457" s="34"/>
      <c r="AF911457" s="34"/>
    </row>
    <row r="911465" spans="31:32" x14ac:dyDescent="0.25">
      <c r="AE911465" s="36"/>
      <c r="AF911465" s="36"/>
    </row>
    <row r="911561" spans="31:32" x14ac:dyDescent="0.25">
      <c r="AE911561" s="34"/>
      <c r="AF911561" s="34"/>
    </row>
    <row r="911569" spans="31:32" x14ac:dyDescent="0.25">
      <c r="AE911569" s="36"/>
      <c r="AF911569" s="36"/>
    </row>
    <row r="911665" spans="31:32" x14ac:dyDescent="0.25">
      <c r="AE911665" s="34"/>
      <c r="AF911665" s="34"/>
    </row>
    <row r="911673" spans="31:32" x14ac:dyDescent="0.25">
      <c r="AE911673" s="36"/>
      <c r="AF911673" s="36"/>
    </row>
    <row r="911769" spans="31:32" x14ac:dyDescent="0.25">
      <c r="AE911769" s="34"/>
      <c r="AF911769" s="34"/>
    </row>
    <row r="911777" spans="31:32" x14ac:dyDescent="0.25">
      <c r="AE911777" s="36"/>
      <c r="AF911777" s="36"/>
    </row>
    <row r="911873" spans="31:32" x14ac:dyDescent="0.25">
      <c r="AE911873" s="34"/>
      <c r="AF911873" s="34"/>
    </row>
    <row r="911881" spans="31:32" x14ac:dyDescent="0.25">
      <c r="AE911881" s="36"/>
      <c r="AF911881" s="36"/>
    </row>
    <row r="911977" spans="31:32" x14ac:dyDescent="0.25">
      <c r="AE911977" s="34"/>
      <c r="AF911977" s="34"/>
    </row>
    <row r="911985" spans="31:32" x14ac:dyDescent="0.25">
      <c r="AE911985" s="36"/>
      <c r="AF911985" s="36"/>
    </row>
    <row r="912081" spans="31:32" x14ac:dyDescent="0.25">
      <c r="AE912081" s="34"/>
      <c r="AF912081" s="34"/>
    </row>
    <row r="912089" spans="31:32" x14ac:dyDescent="0.25">
      <c r="AE912089" s="36"/>
      <c r="AF912089" s="36"/>
    </row>
    <row r="912185" spans="31:32" x14ac:dyDescent="0.25">
      <c r="AE912185" s="34"/>
      <c r="AF912185" s="34"/>
    </row>
    <row r="912193" spans="31:32" x14ac:dyDescent="0.25">
      <c r="AE912193" s="36"/>
      <c r="AF912193" s="36"/>
    </row>
    <row r="912289" spans="31:32" x14ac:dyDescent="0.25">
      <c r="AE912289" s="34"/>
      <c r="AF912289" s="34"/>
    </row>
    <row r="912297" spans="31:32" x14ac:dyDescent="0.25">
      <c r="AE912297" s="36"/>
      <c r="AF912297" s="36"/>
    </row>
    <row r="912393" spans="31:32" x14ac:dyDescent="0.25">
      <c r="AE912393" s="34"/>
      <c r="AF912393" s="34"/>
    </row>
    <row r="912401" spans="31:32" x14ac:dyDescent="0.25">
      <c r="AE912401" s="36"/>
      <c r="AF912401" s="36"/>
    </row>
    <row r="912497" spans="31:32" x14ac:dyDescent="0.25">
      <c r="AE912497" s="34"/>
      <c r="AF912497" s="34"/>
    </row>
    <row r="912505" spans="31:32" x14ac:dyDescent="0.25">
      <c r="AE912505" s="36"/>
      <c r="AF912505" s="36"/>
    </row>
    <row r="912601" spans="31:32" x14ac:dyDescent="0.25">
      <c r="AE912601" s="34"/>
      <c r="AF912601" s="34"/>
    </row>
    <row r="912609" spans="31:32" x14ac:dyDescent="0.25">
      <c r="AE912609" s="36"/>
      <c r="AF912609" s="36"/>
    </row>
    <row r="912705" spans="31:32" x14ac:dyDescent="0.25">
      <c r="AE912705" s="34"/>
      <c r="AF912705" s="34"/>
    </row>
    <row r="912713" spans="31:32" x14ac:dyDescent="0.25">
      <c r="AE912713" s="36"/>
      <c r="AF912713" s="36"/>
    </row>
    <row r="912809" spans="31:32" x14ac:dyDescent="0.25">
      <c r="AE912809" s="34"/>
      <c r="AF912809" s="34"/>
    </row>
    <row r="912817" spans="31:32" x14ac:dyDescent="0.25">
      <c r="AE912817" s="36"/>
      <c r="AF912817" s="36"/>
    </row>
    <row r="912913" spans="31:32" x14ac:dyDescent="0.25">
      <c r="AE912913" s="34"/>
      <c r="AF912913" s="34"/>
    </row>
    <row r="912921" spans="31:32" x14ac:dyDescent="0.25">
      <c r="AE912921" s="36"/>
      <c r="AF912921" s="36"/>
    </row>
    <row r="913017" spans="31:32" x14ac:dyDescent="0.25">
      <c r="AE913017" s="34"/>
      <c r="AF913017" s="34"/>
    </row>
    <row r="913025" spans="31:32" x14ac:dyDescent="0.25">
      <c r="AE913025" s="36"/>
      <c r="AF913025" s="36"/>
    </row>
    <row r="913121" spans="31:32" x14ac:dyDescent="0.25">
      <c r="AE913121" s="34"/>
      <c r="AF913121" s="34"/>
    </row>
    <row r="913129" spans="31:32" x14ac:dyDescent="0.25">
      <c r="AE913129" s="36"/>
      <c r="AF913129" s="36"/>
    </row>
    <row r="913225" spans="31:32" x14ac:dyDescent="0.25">
      <c r="AE913225" s="34"/>
      <c r="AF913225" s="34"/>
    </row>
    <row r="913233" spans="31:32" x14ac:dyDescent="0.25">
      <c r="AE913233" s="36"/>
      <c r="AF913233" s="36"/>
    </row>
    <row r="913329" spans="31:32" x14ac:dyDescent="0.25">
      <c r="AE913329" s="34"/>
      <c r="AF913329" s="34"/>
    </row>
    <row r="913337" spans="31:32" x14ac:dyDescent="0.25">
      <c r="AE913337" s="36"/>
      <c r="AF913337" s="36"/>
    </row>
    <row r="913433" spans="31:32" x14ac:dyDescent="0.25">
      <c r="AE913433" s="34"/>
      <c r="AF913433" s="34"/>
    </row>
    <row r="913441" spans="31:32" x14ac:dyDescent="0.25">
      <c r="AE913441" s="36"/>
      <c r="AF913441" s="36"/>
    </row>
    <row r="913537" spans="31:32" x14ac:dyDescent="0.25">
      <c r="AE913537" s="34"/>
      <c r="AF913537" s="34"/>
    </row>
    <row r="913545" spans="31:32" x14ac:dyDescent="0.25">
      <c r="AE913545" s="36"/>
      <c r="AF913545" s="36"/>
    </row>
    <row r="913641" spans="31:32" x14ac:dyDescent="0.25">
      <c r="AE913641" s="34"/>
      <c r="AF913641" s="34"/>
    </row>
    <row r="913649" spans="31:32" x14ac:dyDescent="0.25">
      <c r="AE913649" s="36"/>
      <c r="AF913649" s="36"/>
    </row>
    <row r="913745" spans="31:32" x14ac:dyDescent="0.25">
      <c r="AE913745" s="34"/>
      <c r="AF913745" s="34"/>
    </row>
    <row r="913753" spans="31:32" x14ac:dyDescent="0.25">
      <c r="AE913753" s="36"/>
      <c r="AF913753" s="36"/>
    </row>
    <row r="913849" spans="31:32" x14ac:dyDescent="0.25">
      <c r="AE913849" s="34"/>
      <c r="AF913849" s="34"/>
    </row>
    <row r="913857" spans="31:32" x14ac:dyDescent="0.25">
      <c r="AE913857" s="36"/>
      <c r="AF913857" s="36"/>
    </row>
    <row r="913953" spans="31:32" x14ac:dyDescent="0.25">
      <c r="AE913953" s="34"/>
      <c r="AF913953" s="34"/>
    </row>
    <row r="913961" spans="31:32" x14ac:dyDescent="0.25">
      <c r="AE913961" s="36"/>
      <c r="AF913961" s="36"/>
    </row>
    <row r="914057" spans="31:32" x14ac:dyDescent="0.25">
      <c r="AE914057" s="34"/>
      <c r="AF914057" s="34"/>
    </row>
    <row r="914065" spans="31:32" x14ac:dyDescent="0.25">
      <c r="AE914065" s="36"/>
      <c r="AF914065" s="36"/>
    </row>
    <row r="914161" spans="31:32" x14ac:dyDescent="0.25">
      <c r="AE914161" s="34"/>
      <c r="AF914161" s="34"/>
    </row>
    <row r="914169" spans="31:32" x14ac:dyDescent="0.25">
      <c r="AE914169" s="36"/>
      <c r="AF914169" s="36"/>
    </row>
    <row r="914265" spans="31:32" x14ac:dyDescent="0.25">
      <c r="AE914265" s="34"/>
      <c r="AF914265" s="34"/>
    </row>
    <row r="914273" spans="31:32" x14ac:dyDescent="0.25">
      <c r="AE914273" s="36"/>
      <c r="AF914273" s="36"/>
    </row>
    <row r="914369" spans="31:32" x14ac:dyDescent="0.25">
      <c r="AE914369" s="34"/>
      <c r="AF914369" s="34"/>
    </row>
    <row r="914377" spans="31:32" x14ac:dyDescent="0.25">
      <c r="AE914377" s="36"/>
      <c r="AF914377" s="36"/>
    </row>
    <row r="914473" spans="31:32" x14ac:dyDescent="0.25">
      <c r="AE914473" s="34"/>
      <c r="AF914473" s="34"/>
    </row>
    <row r="914481" spans="31:32" x14ac:dyDescent="0.25">
      <c r="AE914481" s="36"/>
      <c r="AF914481" s="36"/>
    </row>
    <row r="914577" spans="31:32" x14ac:dyDescent="0.25">
      <c r="AE914577" s="34"/>
      <c r="AF914577" s="34"/>
    </row>
    <row r="914585" spans="31:32" x14ac:dyDescent="0.25">
      <c r="AE914585" s="36"/>
      <c r="AF914585" s="36"/>
    </row>
    <row r="914681" spans="31:32" x14ac:dyDescent="0.25">
      <c r="AE914681" s="34"/>
      <c r="AF914681" s="34"/>
    </row>
    <row r="914689" spans="31:32" x14ac:dyDescent="0.25">
      <c r="AE914689" s="36"/>
      <c r="AF914689" s="36"/>
    </row>
    <row r="914785" spans="31:32" x14ac:dyDescent="0.25">
      <c r="AE914785" s="34"/>
      <c r="AF914785" s="34"/>
    </row>
    <row r="914793" spans="31:32" x14ac:dyDescent="0.25">
      <c r="AE914793" s="36"/>
      <c r="AF914793" s="36"/>
    </row>
    <row r="914889" spans="31:32" x14ac:dyDescent="0.25">
      <c r="AE914889" s="34"/>
      <c r="AF914889" s="34"/>
    </row>
    <row r="914897" spans="31:32" x14ac:dyDescent="0.25">
      <c r="AE914897" s="36"/>
      <c r="AF914897" s="36"/>
    </row>
    <row r="914993" spans="31:32" x14ac:dyDescent="0.25">
      <c r="AE914993" s="34"/>
      <c r="AF914993" s="34"/>
    </row>
    <row r="915001" spans="31:32" x14ac:dyDescent="0.25">
      <c r="AE915001" s="36"/>
      <c r="AF915001" s="36"/>
    </row>
    <row r="915097" spans="31:32" x14ac:dyDescent="0.25">
      <c r="AE915097" s="34"/>
      <c r="AF915097" s="34"/>
    </row>
    <row r="915105" spans="31:32" x14ac:dyDescent="0.25">
      <c r="AE915105" s="36"/>
      <c r="AF915105" s="36"/>
    </row>
    <row r="915201" spans="31:32" x14ac:dyDescent="0.25">
      <c r="AE915201" s="34"/>
      <c r="AF915201" s="34"/>
    </row>
    <row r="915209" spans="31:32" x14ac:dyDescent="0.25">
      <c r="AE915209" s="36"/>
      <c r="AF915209" s="36"/>
    </row>
    <row r="915305" spans="31:32" x14ac:dyDescent="0.25">
      <c r="AE915305" s="34"/>
      <c r="AF915305" s="34"/>
    </row>
    <row r="915313" spans="31:32" x14ac:dyDescent="0.25">
      <c r="AE915313" s="36"/>
      <c r="AF915313" s="36"/>
    </row>
    <row r="915409" spans="31:32" x14ac:dyDescent="0.25">
      <c r="AE915409" s="34"/>
      <c r="AF915409" s="34"/>
    </row>
    <row r="915417" spans="31:32" x14ac:dyDescent="0.25">
      <c r="AE915417" s="36"/>
      <c r="AF915417" s="36"/>
    </row>
    <row r="915513" spans="31:32" x14ac:dyDescent="0.25">
      <c r="AE915513" s="34"/>
      <c r="AF915513" s="34"/>
    </row>
    <row r="915521" spans="31:32" x14ac:dyDescent="0.25">
      <c r="AE915521" s="36"/>
      <c r="AF915521" s="36"/>
    </row>
    <row r="915617" spans="31:32" x14ac:dyDescent="0.25">
      <c r="AE915617" s="34"/>
      <c r="AF915617" s="34"/>
    </row>
    <row r="915625" spans="31:32" x14ac:dyDescent="0.25">
      <c r="AE915625" s="36"/>
      <c r="AF915625" s="36"/>
    </row>
    <row r="915721" spans="31:32" x14ac:dyDescent="0.25">
      <c r="AE915721" s="34"/>
      <c r="AF915721" s="34"/>
    </row>
    <row r="915729" spans="31:32" x14ac:dyDescent="0.25">
      <c r="AE915729" s="36"/>
      <c r="AF915729" s="36"/>
    </row>
    <row r="915825" spans="31:32" x14ac:dyDescent="0.25">
      <c r="AE915825" s="34"/>
      <c r="AF915825" s="34"/>
    </row>
    <row r="915833" spans="31:32" x14ac:dyDescent="0.25">
      <c r="AE915833" s="36"/>
      <c r="AF915833" s="36"/>
    </row>
    <row r="915929" spans="31:32" x14ac:dyDescent="0.25">
      <c r="AE915929" s="34"/>
      <c r="AF915929" s="34"/>
    </row>
    <row r="915937" spans="31:32" x14ac:dyDescent="0.25">
      <c r="AE915937" s="36"/>
      <c r="AF915937" s="36"/>
    </row>
    <row r="916033" spans="31:32" x14ac:dyDescent="0.25">
      <c r="AE916033" s="34"/>
      <c r="AF916033" s="34"/>
    </row>
    <row r="916041" spans="31:32" x14ac:dyDescent="0.25">
      <c r="AE916041" s="36"/>
      <c r="AF916041" s="36"/>
    </row>
    <row r="916137" spans="31:32" x14ac:dyDescent="0.25">
      <c r="AE916137" s="34"/>
      <c r="AF916137" s="34"/>
    </row>
    <row r="916145" spans="31:32" x14ac:dyDescent="0.25">
      <c r="AE916145" s="36"/>
      <c r="AF916145" s="36"/>
    </row>
    <row r="916241" spans="31:32" x14ac:dyDescent="0.25">
      <c r="AE916241" s="34"/>
      <c r="AF916241" s="34"/>
    </row>
    <row r="916249" spans="31:32" x14ac:dyDescent="0.25">
      <c r="AE916249" s="36"/>
      <c r="AF916249" s="36"/>
    </row>
    <row r="916345" spans="31:32" x14ac:dyDescent="0.25">
      <c r="AE916345" s="34"/>
      <c r="AF916345" s="34"/>
    </row>
    <row r="916353" spans="31:32" x14ac:dyDescent="0.25">
      <c r="AE916353" s="36"/>
      <c r="AF916353" s="36"/>
    </row>
    <row r="916449" spans="31:32" x14ac:dyDescent="0.25">
      <c r="AE916449" s="34"/>
      <c r="AF916449" s="34"/>
    </row>
    <row r="916457" spans="31:32" x14ac:dyDescent="0.25">
      <c r="AE916457" s="36"/>
      <c r="AF916457" s="36"/>
    </row>
    <row r="916553" spans="31:32" x14ac:dyDescent="0.25">
      <c r="AE916553" s="34"/>
      <c r="AF916553" s="34"/>
    </row>
    <row r="916561" spans="31:32" x14ac:dyDescent="0.25">
      <c r="AE916561" s="36"/>
      <c r="AF916561" s="36"/>
    </row>
    <row r="916657" spans="31:32" x14ac:dyDescent="0.25">
      <c r="AE916657" s="34"/>
      <c r="AF916657" s="34"/>
    </row>
    <row r="916665" spans="31:32" x14ac:dyDescent="0.25">
      <c r="AE916665" s="36"/>
      <c r="AF916665" s="36"/>
    </row>
    <row r="916761" spans="31:32" x14ac:dyDescent="0.25">
      <c r="AE916761" s="34"/>
      <c r="AF916761" s="34"/>
    </row>
    <row r="916769" spans="31:32" x14ac:dyDescent="0.25">
      <c r="AE916769" s="36"/>
      <c r="AF916769" s="36"/>
    </row>
    <row r="916865" spans="31:32" x14ac:dyDescent="0.25">
      <c r="AE916865" s="34"/>
      <c r="AF916865" s="34"/>
    </row>
    <row r="916873" spans="31:32" x14ac:dyDescent="0.25">
      <c r="AE916873" s="36"/>
      <c r="AF916873" s="36"/>
    </row>
    <row r="916969" spans="31:32" x14ac:dyDescent="0.25">
      <c r="AE916969" s="34"/>
      <c r="AF916969" s="34"/>
    </row>
    <row r="916977" spans="31:32" x14ac:dyDescent="0.25">
      <c r="AE916977" s="36"/>
      <c r="AF916977" s="36"/>
    </row>
    <row r="917073" spans="31:32" x14ac:dyDescent="0.25">
      <c r="AE917073" s="34"/>
      <c r="AF917073" s="34"/>
    </row>
    <row r="917081" spans="31:32" x14ac:dyDescent="0.25">
      <c r="AE917081" s="36"/>
      <c r="AF917081" s="36"/>
    </row>
    <row r="917177" spans="31:32" x14ac:dyDescent="0.25">
      <c r="AE917177" s="34"/>
      <c r="AF917177" s="34"/>
    </row>
    <row r="917185" spans="31:32" x14ac:dyDescent="0.25">
      <c r="AE917185" s="36"/>
      <c r="AF917185" s="36"/>
    </row>
    <row r="917281" spans="31:32" x14ac:dyDescent="0.25">
      <c r="AE917281" s="34"/>
      <c r="AF917281" s="34"/>
    </row>
    <row r="917289" spans="31:32" x14ac:dyDescent="0.25">
      <c r="AE917289" s="36"/>
      <c r="AF917289" s="36"/>
    </row>
    <row r="917385" spans="31:32" x14ac:dyDescent="0.25">
      <c r="AE917385" s="34"/>
      <c r="AF917385" s="34"/>
    </row>
    <row r="917393" spans="31:32" x14ac:dyDescent="0.25">
      <c r="AE917393" s="36"/>
      <c r="AF917393" s="36"/>
    </row>
    <row r="917489" spans="31:32" x14ac:dyDescent="0.25">
      <c r="AE917489" s="34"/>
      <c r="AF917489" s="34"/>
    </row>
    <row r="917497" spans="31:32" x14ac:dyDescent="0.25">
      <c r="AE917497" s="36"/>
      <c r="AF917497" s="36"/>
    </row>
    <row r="917593" spans="31:32" x14ac:dyDescent="0.25">
      <c r="AE917593" s="34"/>
      <c r="AF917593" s="34"/>
    </row>
    <row r="917601" spans="31:32" x14ac:dyDescent="0.25">
      <c r="AE917601" s="36"/>
      <c r="AF917601" s="36"/>
    </row>
    <row r="917697" spans="31:32" x14ac:dyDescent="0.25">
      <c r="AE917697" s="34"/>
      <c r="AF917697" s="34"/>
    </row>
    <row r="917705" spans="31:32" x14ac:dyDescent="0.25">
      <c r="AE917705" s="36"/>
      <c r="AF917705" s="36"/>
    </row>
    <row r="917801" spans="31:32" x14ac:dyDescent="0.25">
      <c r="AE917801" s="34"/>
      <c r="AF917801" s="34"/>
    </row>
    <row r="917809" spans="31:32" x14ac:dyDescent="0.25">
      <c r="AE917809" s="36"/>
      <c r="AF917809" s="36"/>
    </row>
    <row r="917905" spans="31:32" x14ac:dyDescent="0.25">
      <c r="AE917905" s="34"/>
      <c r="AF917905" s="34"/>
    </row>
    <row r="917913" spans="31:32" x14ac:dyDescent="0.25">
      <c r="AE917913" s="36"/>
      <c r="AF917913" s="36"/>
    </row>
    <row r="918009" spans="31:32" x14ac:dyDescent="0.25">
      <c r="AE918009" s="34"/>
      <c r="AF918009" s="34"/>
    </row>
    <row r="918017" spans="31:32" x14ac:dyDescent="0.25">
      <c r="AE918017" s="36"/>
      <c r="AF918017" s="36"/>
    </row>
    <row r="918113" spans="31:32" x14ac:dyDescent="0.25">
      <c r="AE918113" s="34"/>
      <c r="AF918113" s="34"/>
    </row>
    <row r="918121" spans="31:32" x14ac:dyDescent="0.25">
      <c r="AE918121" s="36"/>
      <c r="AF918121" s="36"/>
    </row>
    <row r="918217" spans="31:32" x14ac:dyDescent="0.25">
      <c r="AE918217" s="34"/>
      <c r="AF918217" s="34"/>
    </row>
    <row r="918225" spans="31:32" x14ac:dyDescent="0.25">
      <c r="AE918225" s="36"/>
      <c r="AF918225" s="36"/>
    </row>
    <row r="918321" spans="31:32" x14ac:dyDescent="0.25">
      <c r="AE918321" s="34"/>
      <c r="AF918321" s="34"/>
    </row>
    <row r="918329" spans="31:32" x14ac:dyDescent="0.25">
      <c r="AE918329" s="36"/>
      <c r="AF918329" s="36"/>
    </row>
    <row r="918425" spans="31:32" x14ac:dyDescent="0.25">
      <c r="AE918425" s="34"/>
      <c r="AF918425" s="34"/>
    </row>
    <row r="918433" spans="31:32" x14ac:dyDescent="0.25">
      <c r="AE918433" s="36"/>
      <c r="AF918433" s="36"/>
    </row>
    <row r="918529" spans="31:32" x14ac:dyDescent="0.25">
      <c r="AE918529" s="34"/>
      <c r="AF918529" s="34"/>
    </row>
    <row r="918537" spans="31:32" x14ac:dyDescent="0.25">
      <c r="AE918537" s="36"/>
      <c r="AF918537" s="36"/>
    </row>
    <row r="918633" spans="31:32" x14ac:dyDescent="0.25">
      <c r="AE918633" s="34"/>
      <c r="AF918633" s="34"/>
    </row>
    <row r="918641" spans="31:32" x14ac:dyDescent="0.25">
      <c r="AE918641" s="36"/>
      <c r="AF918641" s="36"/>
    </row>
    <row r="918737" spans="31:32" x14ac:dyDescent="0.25">
      <c r="AE918737" s="34"/>
      <c r="AF918737" s="34"/>
    </row>
    <row r="918745" spans="31:32" x14ac:dyDescent="0.25">
      <c r="AE918745" s="36"/>
      <c r="AF918745" s="36"/>
    </row>
    <row r="918841" spans="31:32" x14ac:dyDescent="0.25">
      <c r="AE918841" s="34"/>
      <c r="AF918841" s="34"/>
    </row>
    <row r="918849" spans="31:32" x14ac:dyDescent="0.25">
      <c r="AE918849" s="36"/>
      <c r="AF918849" s="36"/>
    </row>
    <row r="918945" spans="31:32" x14ac:dyDescent="0.25">
      <c r="AE918945" s="34"/>
      <c r="AF918945" s="34"/>
    </row>
    <row r="918953" spans="31:32" x14ac:dyDescent="0.25">
      <c r="AE918953" s="36"/>
      <c r="AF918953" s="36"/>
    </row>
    <row r="919049" spans="31:32" x14ac:dyDescent="0.25">
      <c r="AE919049" s="34"/>
      <c r="AF919049" s="34"/>
    </row>
    <row r="919057" spans="31:32" x14ac:dyDescent="0.25">
      <c r="AE919057" s="36"/>
      <c r="AF919057" s="36"/>
    </row>
    <row r="919153" spans="31:32" x14ac:dyDescent="0.25">
      <c r="AE919153" s="34"/>
      <c r="AF919153" s="34"/>
    </row>
    <row r="919161" spans="31:32" x14ac:dyDescent="0.25">
      <c r="AE919161" s="36"/>
      <c r="AF919161" s="36"/>
    </row>
    <row r="919257" spans="31:32" x14ac:dyDescent="0.25">
      <c r="AE919257" s="34"/>
      <c r="AF919257" s="34"/>
    </row>
    <row r="919265" spans="31:32" x14ac:dyDescent="0.25">
      <c r="AE919265" s="36"/>
      <c r="AF919265" s="36"/>
    </row>
    <row r="919361" spans="31:32" x14ac:dyDescent="0.25">
      <c r="AE919361" s="34"/>
      <c r="AF919361" s="34"/>
    </row>
    <row r="919369" spans="31:32" x14ac:dyDescent="0.25">
      <c r="AE919369" s="36"/>
      <c r="AF919369" s="36"/>
    </row>
    <row r="919465" spans="31:32" x14ac:dyDescent="0.25">
      <c r="AE919465" s="34"/>
      <c r="AF919465" s="34"/>
    </row>
    <row r="919473" spans="31:32" x14ac:dyDescent="0.25">
      <c r="AE919473" s="36"/>
      <c r="AF919473" s="36"/>
    </row>
    <row r="919569" spans="31:32" x14ac:dyDescent="0.25">
      <c r="AE919569" s="34"/>
      <c r="AF919569" s="34"/>
    </row>
    <row r="919577" spans="31:32" x14ac:dyDescent="0.25">
      <c r="AE919577" s="36"/>
      <c r="AF919577" s="36"/>
    </row>
    <row r="919673" spans="31:32" x14ac:dyDescent="0.25">
      <c r="AE919673" s="34"/>
      <c r="AF919673" s="34"/>
    </row>
    <row r="919681" spans="31:32" x14ac:dyDescent="0.25">
      <c r="AE919681" s="36"/>
      <c r="AF919681" s="36"/>
    </row>
    <row r="919777" spans="31:32" x14ac:dyDescent="0.25">
      <c r="AE919777" s="34"/>
      <c r="AF919777" s="34"/>
    </row>
    <row r="919785" spans="31:32" x14ac:dyDescent="0.25">
      <c r="AE919785" s="36"/>
      <c r="AF919785" s="36"/>
    </row>
    <row r="919881" spans="31:32" x14ac:dyDescent="0.25">
      <c r="AE919881" s="34"/>
      <c r="AF919881" s="34"/>
    </row>
    <row r="919889" spans="31:32" x14ac:dyDescent="0.25">
      <c r="AE919889" s="36"/>
      <c r="AF919889" s="36"/>
    </row>
    <row r="919985" spans="31:32" x14ac:dyDescent="0.25">
      <c r="AE919985" s="34"/>
      <c r="AF919985" s="34"/>
    </row>
    <row r="919993" spans="31:32" x14ac:dyDescent="0.25">
      <c r="AE919993" s="36"/>
      <c r="AF919993" s="36"/>
    </row>
    <row r="920089" spans="31:32" x14ac:dyDescent="0.25">
      <c r="AE920089" s="34"/>
      <c r="AF920089" s="34"/>
    </row>
    <row r="920097" spans="31:32" x14ac:dyDescent="0.25">
      <c r="AE920097" s="36"/>
      <c r="AF920097" s="36"/>
    </row>
    <row r="920193" spans="31:32" x14ac:dyDescent="0.25">
      <c r="AE920193" s="34"/>
      <c r="AF920193" s="34"/>
    </row>
    <row r="920201" spans="31:32" x14ac:dyDescent="0.25">
      <c r="AE920201" s="36"/>
      <c r="AF920201" s="36"/>
    </row>
    <row r="920297" spans="31:32" x14ac:dyDescent="0.25">
      <c r="AE920297" s="34"/>
      <c r="AF920297" s="34"/>
    </row>
    <row r="920305" spans="31:32" x14ac:dyDescent="0.25">
      <c r="AE920305" s="36"/>
      <c r="AF920305" s="36"/>
    </row>
    <row r="920401" spans="31:32" x14ac:dyDescent="0.25">
      <c r="AE920401" s="34"/>
      <c r="AF920401" s="34"/>
    </row>
    <row r="920409" spans="31:32" x14ac:dyDescent="0.25">
      <c r="AE920409" s="36"/>
      <c r="AF920409" s="36"/>
    </row>
    <row r="920505" spans="31:32" x14ac:dyDescent="0.25">
      <c r="AE920505" s="34"/>
      <c r="AF920505" s="34"/>
    </row>
    <row r="920513" spans="31:32" x14ac:dyDescent="0.25">
      <c r="AE920513" s="36"/>
      <c r="AF920513" s="36"/>
    </row>
    <row r="920609" spans="31:32" x14ac:dyDescent="0.25">
      <c r="AE920609" s="34"/>
      <c r="AF920609" s="34"/>
    </row>
    <row r="920617" spans="31:32" x14ac:dyDescent="0.25">
      <c r="AE920617" s="36"/>
      <c r="AF920617" s="36"/>
    </row>
    <row r="920713" spans="31:32" x14ac:dyDescent="0.25">
      <c r="AE920713" s="34"/>
      <c r="AF920713" s="34"/>
    </row>
    <row r="920721" spans="31:32" x14ac:dyDescent="0.25">
      <c r="AE920721" s="36"/>
      <c r="AF920721" s="36"/>
    </row>
    <row r="920817" spans="31:32" x14ac:dyDescent="0.25">
      <c r="AE920817" s="34"/>
      <c r="AF920817" s="34"/>
    </row>
    <row r="920825" spans="31:32" x14ac:dyDescent="0.25">
      <c r="AE920825" s="36"/>
      <c r="AF920825" s="36"/>
    </row>
    <row r="920921" spans="31:32" x14ac:dyDescent="0.25">
      <c r="AE920921" s="34"/>
      <c r="AF920921" s="34"/>
    </row>
    <row r="920929" spans="31:32" x14ac:dyDescent="0.25">
      <c r="AE920929" s="36"/>
      <c r="AF920929" s="36"/>
    </row>
    <row r="921025" spans="31:32" x14ac:dyDescent="0.25">
      <c r="AE921025" s="34"/>
      <c r="AF921025" s="34"/>
    </row>
    <row r="921033" spans="31:32" x14ac:dyDescent="0.25">
      <c r="AE921033" s="36"/>
      <c r="AF921033" s="36"/>
    </row>
    <row r="921129" spans="31:32" x14ac:dyDescent="0.25">
      <c r="AE921129" s="34"/>
      <c r="AF921129" s="34"/>
    </row>
    <row r="921137" spans="31:32" x14ac:dyDescent="0.25">
      <c r="AE921137" s="36"/>
      <c r="AF921137" s="36"/>
    </row>
    <row r="921233" spans="31:32" x14ac:dyDescent="0.25">
      <c r="AE921233" s="34"/>
      <c r="AF921233" s="34"/>
    </row>
    <row r="921241" spans="31:32" x14ac:dyDescent="0.25">
      <c r="AE921241" s="36"/>
      <c r="AF921241" s="36"/>
    </row>
    <row r="921337" spans="31:32" x14ac:dyDescent="0.25">
      <c r="AE921337" s="34"/>
      <c r="AF921337" s="34"/>
    </row>
    <row r="921345" spans="31:32" x14ac:dyDescent="0.25">
      <c r="AE921345" s="36"/>
      <c r="AF921345" s="36"/>
    </row>
    <row r="921441" spans="31:32" x14ac:dyDescent="0.25">
      <c r="AE921441" s="34"/>
      <c r="AF921441" s="34"/>
    </row>
    <row r="921449" spans="31:32" x14ac:dyDescent="0.25">
      <c r="AE921449" s="36"/>
      <c r="AF921449" s="36"/>
    </row>
    <row r="921545" spans="31:32" x14ac:dyDescent="0.25">
      <c r="AE921545" s="34"/>
      <c r="AF921545" s="34"/>
    </row>
    <row r="921553" spans="31:32" x14ac:dyDescent="0.25">
      <c r="AE921553" s="36"/>
      <c r="AF921553" s="36"/>
    </row>
    <row r="921649" spans="31:32" x14ac:dyDescent="0.25">
      <c r="AE921649" s="34"/>
      <c r="AF921649" s="34"/>
    </row>
    <row r="921657" spans="31:32" x14ac:dyDescent="0.25">
      <c r="AE921657" s="36"/>
      <c r="AF921657" s="36"/>
    </row>
    <row r="921753" spans="31:32" x14ac:dyDescent="0.25">
      <c r="AE921753" s="34"/>
      <c r="AF921753" s="34"/>
    </row>
    <row r="921761" spans="31:32" x14ac:dyDescent="0.25">
      <c r="AE921761" s="36"/>
      <c r="AF921761" s="36"/>
    </row>
    <row r="921857" spans="31:32" x14ac:dyDescent="0.25">
      <c r="AE921857" s="34"/>
      <c r="AF921857" s="34"/>
    </row>
    <row r="921865" spans="31:32" x14ac:dyDescent="0.25">
      <c r="AE921865" s="36"/>
      <c r="AF921865" s="36"/>
    </row>
    <row r="921961" spans="31:32" x14ac:dyDescent="0.25">
      <c r="AE921961" s="34"/>
      <c r="AF921961" s="34"/>
    </row>
    <row r="921969" spans="31:32" x14ac:dyDescent="0.25">
      <c r="AE921969" s="36"/>
      <c r="AF921969" s="36"/>
    </row>
    <row r="922065" spans="31:32" x14ac:dyDescent="0.25">
      <c r="AE922065" s="34"/>
      <c r="AF922065" s="34"/>
    </row>
    <row r="922073" spans="31:32" x14ac:dyDescent="0.25">
      <c r="AE922073" s="36"/>
      <c r="AF922073" s="36"/>
    </row>
    <row r="922169" spans="31:32" x14ac:dyDescent="0.25">
      <c r="AE922169" s="34"/>
      <c r="AF922169" s="34"/>
    </row>
    <row r="922177" spans="31:32" x14ac:dyDescent="0.25">
      <c r="AE922177" s="36"/>
      <c r="AF922177" s="36"/>
    </row>
    <row r="922273" spans="31:32" x14ac:dyDescent="0.25">
      <c r="AE922273" s="34"/>
      <c r="AF922273" s="34"/>
    </row>
    <row r="922281" spans="31:32" x14ac:dyDescent="0.25">
      <c r="AE922281" s="36"/>
      <c r="AF922281" s="36"/>
    </row>
    <row r="922377" spans="31:32" x14ac:dyDescent="0.25">
      <c r="AE922377" s="34"/>
      <c r="AF922377" s="34"/>
    </row>
    <row r="922385" spans="31:32" x14ac:dyDescent="0.25">
      <c r="AE922385" s="36"/>
      <c r="AF922385" s="36"/>
    </row>
    <row r="922481" spans="31:32" x14ac:dyDescent="0.25">
      <c r="AE922481" s="34"/>
      <c r="AF922481" s="34"/>
    </row>
    <row r="922489" spans="31:32" x14ac:dyDescent="0.25">
      <c r="AE922489" s="36"/>
      <c r="AF922489" s="36"/>
    </row>
    <row r="922585" spans="31:32" x14ac:dyDescent="0.25">
      <c r="AE922585" s="34"/>
      <c r="AF922585" s="34"/>
    </row>
    <row r="922593" spans="31:32" x14ac:dyDescent="0.25">
      <c r="AE922593" s="36"/>
      <c r="AF922593" s="36"/>
    </row>
    <row r="922689" spans="31:32" x14ac:dyDescent="0.25">
      <c r="AE922689" s="34"/>
      <c r="AF922689" s="34"/>
    </row>
    <row r="922697" spans="31:32" x14ac:dyDescent="0.25">
      <c r="AE922697" s="36"/>
      <c r="AF922697" s="36"/>
    </row>
    <row r="922793" spans="31:32" x14ac:dyDescent="0.25">
      <c r="AE922793" s="34"/>
      <c r="AF922793" s="34"/>
    </row>
    <row r="922801" spans="31:32" x14ac:dyDescent="0.25">
      <c r="AE922801" s="36"/>
      <c r="AF922801" s="36"/>
    </row>
    <row r="922897" spans="31:32" x14ac:dyDescent="0.25">
      <c r="AE922897" s="34"/>
      <c r="AF922897" s="34"/>
    </row>
    <row r="922905" spans="31:32" x14ac:dyDescent="0.25">
      <c r="AE922905" s="36"/>
      <c r="AF922905" s="36"/>
    </row>
    <row r="923001" spans="31:32" x14ac:dyDescent="0.25">
      <c r="AE923001" s="34"/>
      <c r="AF923001" s="34"/>
    </row>
    <row r="923009" spans="31:32" x14ac:dyDescent="0.25">
      <c r="AE923009" s="36"/>
      <c r="AF923009" s="36"/>
    </row>
    <row r="923105" spans="31:32" x14ac:dyDescent="0.25">
      <c r="AE923105" s="34"/>
      <c r="AF923105" s="34"/>
    </row>
    <row r="923113" spans="31:32" x14ac:dyDescent="0.25">
      <c r="AE923113" s="36"/>
      <c r="AF923113" s="36"/>
    </row>
    <row r="923209" spans="31:32" x14ac:dyDescent="0.25">
      <c r="AE923209" s="34"/>
      <c r="AF923209" s="34"/>
    </row>
    <row r="923217" spans="31:32" x14ac:dyDescent="0.25">
      <c r="AE923217" s="36"/>
      <c r="AF923217" s="36"/>
    </row>
    <row r="923313" spans="31:32" x14ac:dyDescent="0.25">
      <c r="AE923313" s="34"/>
      <c r="AF923313" s="34"/>
    </row>
    <row r="923321" spans="31:32" x14ac:dyDescent="0.25">
      <c r="AE923321" s="36"/>
      <c r="AF923321" s="36"/>
    </row>
    <row r="923417" spans="31:32" x14ac:dyDescent="0.25">
      <c r="AE923417" s="34"/>
      <c r="AF923417" s="34"/>
    </row>
    <row r="923425" spans="31:32" x14ac:dyDescent="0.25">
      <c r="AE923425" s="36"/>
      <c r="AF923425" s="36"/>
    </row>
    <row r="923521" spans="31:32" x14ac:dyDescent="0.25">
      <c r="AE923521" s="34"/>
      <c r="AF923521" s="34"/>
    </row>
    <row r="923529" spans="31:32" x14ac:dyDescent="0.25">
      <c r="AE923529" s="36"/>
      <c r="AF923529" s="36"/>
    </row>
    <row r="923625" spans="31:32" x14ac:dyDescent="0.25">
      <c r="AE923625" s="34"/>
      <c r="AF923625" s="34"/>
    </row>
    <row r="923633" spans="31:32" x14ac:dyDescent="0.25">
      <c r="AE923633" s="36"/>
      <c r="AF923633" s="36"/>
    </row>
    <row r="923729" spans="31:32" x14ac:dyDescent="0.25">
      <c r="AE923729" s="34"/>
      <c r="AF923729" s="34"/>
    </row>
    <row r="923737" spans="31:32" x14ac:dyDescent="0.25">
      <c r="AE923737" s="36"/>
      <c r="AF923737" s="36"/>
    </row>
    <row r="923833" spans="31:32" x14ac:dyDescent="0.25">
      <c r="AE923833" s="34"/>
      <c r="AF923833" s="34"/>
    </row>
    <row r="923841" spans="31:32" x14ac:dyDescent="0.25">
      <c r="AE923841" s="36"/>
      <c r="AF923841" s="36"/>
    </row>
    <row r="923937" spans="31:32" x14ac:dyDescent="0.25">
      <c r="AE923937" s="34"/>
      <c r="AF923937" s="34"/>
    </row>
    <row r="923945" spans="31:32" x14ac:dyDescent="0.25">
      <c r="AE923945" s="36"/>
      <c r="AF923945" s="36"/>
    </row>
    <row r="924041" spans="31:32" x14ac:dyDescent="0.25">
      <c r="AE924041" s="34"/>
      <c r="AF924041" s="34"/>
    </row>
    <row r="924049" spans="31:32" x14ac:dyDescent="0.25">
      <c r="AE924049" s="36"/>
      <c r="AF924049" s="36"/>
    </row>
    <row r="924145" spans="31:32" x14ac:dyDescent="0.25">
      <c r="AE924145" s="34"/>
      <c r="AF924145" s="34"/>
    </row>
    <row r="924153" spans="31:32" x14ac:dyDescent="0.25">
      <c r="AE924153" s="36"/>
      <c r="AF924153" s="36"/>
    </row>
    <row r="924249" spans="31:32" x14ac:dyDescent="0.25">
      <c r="AE924249" s="34"/>
      <c r="AF924249" s="34"/>
    </row>
    <row r="924257" spans="31:32" x14ac:dyDescent="0.25">
      <c r="AE924257" s="36"/>
      <c r="AF924257" s="36"/>
    </row>
    <row r="924353" spans="31:32" x14ac:dyDescent="0.25">
      <c r="AE924353" s="34"/>
      <c r="AF924353" s="34"/>
    </row>
    <row r="924361" spans="31:32" x14ac:dyDescent="0.25">
      <c r="AE924361" s="36"/>
      <c r="AF924361" s="36"/>
    </row>
    <row r="924457" spans="31:32" x14ac:dyDescent="0.25">
      <c r="AE924457" s="34"/>
      <c r="AF924457" s="34"/>
    </row>
    <row r="924465" spans="31:32" x14ac:dyDescent="0.25">
      <c r="AE924465" s="36"/>
      <c r="AF924465" s="36"/>
    </row>
    <row r="924561" spans="31:32" x14ac:dyDescent="0.25">
      <c r="AE924561" s="34"/>
      <c r="AF924561" s="34"/>
    </row>
    <row r="924569" spans="31:32" x14ac:dyDescent="0.25">
      <c r="AE924569" s="36"/>
      <c r="AF924569" s="36"/>
    </row>
    <row r="924665" spans="31:32" x14ac:dyDescent="0.25">
      <c r="AE924665" s="34"/>
      <c r="AF924665" s="34"/>
    </row>
    <row r="924673" spans="31:32" x14ac:dyDescent="0.25">
      <c r="AE924673" s="36"/>
      <c r="AF924673" s="36"/>
    </row>
    <row r="924769" spans="31:32" x14ac:dyDescent="0.25">
      <c r="AE924769" s="34"/>
      <c r="AF924769" s="34"/>
    </row>
    <row r="924777" spans="31:32" x14ac:dyDescent="0.25">
      <c r="AE924777" s="36"/>
      <c r="AF924777" s="36"/>
    </row>
    <row r="924873" spans="31:32" x14ac:dyDescent="0.25">
      <c r="AE924873" s="34"/>
      <c r="AF924873" s="34"/>
    </row>
    <row r="924881" spans="31:32" x14ac:dyDescent="0.25">
      <c r="AE924881" s="36"/>
      <c r="AF924881" s="36"/>
    </row>
    <row r="924977" spans="31:32" x14ac:dyDescent="0.25">
      <c r="AE924977" s="34"/>
      <c r="AF924977" s="34"/>
    </row>
    <row r="924985" spans="31:32" x14ac:dyDescent="0.25">
      <c r="AE924985" s="36"/>
      <c r="AF924985" s="36"/>
    </row>
    <row r="925081" spans="31:32" x14ac:dyDescent="0.25">
      <c r="AE925081" s="34"/>
      <c r="AF925081" s="34"/>
    </row>
    <row r="925089" spans="31:32" x14ac:dyDescent="0.25">
      <c r="AE925089" s="36"/>
      <c r="AF925089" s="36"/>
    </row>
    <row r="925185" spans="31:32" x14ac:dyDescent="0.25">
      <c r="AE925185" s="34"/>
      <c r="AF925185" s="34"/>
    </row>
    <row r="925193" spans="31:32" x14ac:dyDescent="0.25">
      <c r="AE925193" s="36"/>
      <c r="AF925193" s="36"/>
    </row>
    <row r="925289" spans="31:32" x14ac:dyDescent="0.25">
      <c r="AE925289" s="34"/>
      <c r="AF925289" s="34"/>
    </row>
    <row r="925297" spans="31:32" x14ac:dyDescent="0.25">
      <c r="AE925297" s="36"/>
      <c r="AF925297" s="36"/>
    </row>
    <row r="925393" spans="31:32" x14ac:dyDescent="0.25">
      <c r="AE925393" s="34"/>
      <c r="AF925393" s="34"/>
    </row>
    <row r="925401" spans="31:32" x14ac:dyDescent="0.25">
      <c r="AE925401" s="36"/>
      <c r="AF925401" s="36"/>
    </row>
    <row r="925497" spans="31:32" x14ac:dyDescent="0.25">
      <c r="AE925497" s="34"/>
      <c r="AF925497" s="34"/>
    </row>
    <row r="925505" spans="31:32" x14ac:dyDescent="0.25">
      <c r="AE925505" s="36"/>
      <c r="AF925505" s="36"/>
    </row>
    <row r="925601" spans="31:32" x14ac:dyDescent="0.25">
      <c r="AE925601" s="34"/>
      <c r="AF925601" s="34"/>
    </row>
    <row r="925609" spans="31:32" x14ac:dyDescent="0.25">
      <c r="AE925609" s="36"/>
      <c r="AF925609" s="36"/>
    </row>
    <row r="925705" spans="31:32" x14ac:dyDescent="0.25">
      <c r="AE925705" s="34"/>
      <c r="AF925705" s="34"/>
    </row>
    <row r="925713" spans="31:32" x14ac:dyDescent="0.25">
      <c r="AE925713" s="36"/>
      <c r="AF925713" s="36"/>
    </row>
    <row r="925809" spans="31:32" x14ac:dyDescent="0.25">
      <c r="AE925809" s="34"/>
      <c r="AF925809" s="34"/>
    </row>
    <row r="925817" spans="31:32" x14ac:dyDescent="0.25">
      <c r="AE925817" s="36"/>
      <c r="AF925817" s="36"/>
    </row>
    <row r="925913" spans="31:32" x14ac:dyDescent="0.25">
      <c r="AE925913" s="34"/>
      <c r="AF925913" s="34"/>
    </row>
    <row r="925921" spans="31:32" x14ac:dyDescent="0.25">
      <c r="AE925921" s="36"/>
      <c r="AF925921" s="36"/>
    </row>
    <row r="926017" spans="31:32" x14ac:dyDescent="0.25">
      <c r="AE926017" s="34"/>
      <c r="AF926017" s="34"/>
    </row>
    <row r="926025" spans="31:32" x14ac:dyDescent="0.25">
      <c r="AE926025" s="36"/>
      <c r="AF926025" s="36"/>
    </row>
    <row r="926121" spans="31:32" x14ac:dyDescent="0.25">
      <c r="AE926121" s="34"/>
      <c r="AF926121" s="34"/>
    </row>
    <row r="926129" spans="31:32" x14ac:dyDescent="0.25">
      <c r="AE926129" s="36"/>
      <c r="AF926129" s="36"/>
    </row>
    <row r="926225" spans="31:32" x14ac:dyDescent="0.25">
      <c r="AE926225" s="34"/>
      <c r="AF926225" s="34"/>
    </row>
    <row r="926233" spans="31:32" x14ac:dyDescent="0.25">
      <c r="AE926233" s="36"/>
      <c r="AF926233" s="36"/>
    </row>
    <row r="926329" spans="31:32" x14ac:dyDescent="0.25">
      <c r="AE926329" s="34"/>
      <c r="AF926329" s="34"/>
    </row>
    <row r="926337" spans="31:32" x14ac:dyDescent="0.25">
      <c r="AE926337" s="36"/>
      <c r="AF926337" s="36"/>
    </row>
    <row r="926433" spans="31:32" x14ac:dyDescent="0.25">
      <c r="AE926433" s="34"/>
      <c r="AF926433" s="34"/>
    </row>
    <row r="926441" spans="31:32" x14ac:dyDescent="0.25">
      <c r="AE926441" s="36"/>
      <c r="AF926441" s="36"/>
    </row>
    <row r="926537" spans="31:32" x14ac:dyDescent="0.25">
      <c r="AE926537" s="34"/>
      <c r="AF926537" s="34"/>
    </row>
    <row r="926545" spans="31:32" x14ac:dyDescent="0.25">
      <c r="AE926545" s="36"/>
      <c r="AF926545" s="36"/>
    </row>
    <row r="926641" spans="31:32" x14ac:dyDescent="0.25">
      <c r="AE926641" s="34"/>
      <c r="AF926641" s="34"/>
    </row>
    <row r="926649" spans="31:32" x14ac:dyDescent="0.25">
      <c r="AE926649" s="36"/>
      <c r="AF926649" s="36"/>
    </row>
    <row r="926745" spans="31:32" x14ac:dyDescent="0.25">
      <c r="AE926745" s="34"/>
      <c r="AF926745" s="34"/>
    </row>
    <row r="926753" spans="31:32" x14ac:dyDescent="0.25">
      <c r="AE926753" s="36"/>
      <c r="AF926753" s="36"/>
    </row>
    <row r="926849" spans="31:32" x14ac:dyDescent="0.25">
      <c r="AE926849" s="34"/>
      <c r="AF926849" s="34"/>
    </row>
    <row r="926857" spans="31:32" x14ac:dyDescent="0.25">
      <c r="AE926857" s="36"/>
      <c r="AF926857" s="36"/>
    </row>
    <row r="926953" spans="31:32" x14ac:dyDescent="0.25">
      <c r="AE926953" s="34"/>
      <c r="AF926953" s="34"/>
    </row>
    <row r="926961" spans="31:32" x14ac:dyDescent="0.25">
      <c r="AE926961" s="36"/>
      <c r="AF926961" s="36"/>
    </row>
    <row r="927057" spans="31:32" x14ac:dyDescent="0.25">
      <c r="AE927057" s="34"/>
      <c r="AF927057" s="34"/>
    </row>
    <row r="927065" spans="31:32" x14ac:dyDescent="0.25">
      <c r="AE927065" s="36"/>
      <c r="AF927065" s="36"/>
    </row>
    <row r="927161" spans="31:32" x14ac:dyDescent="0.25">
      <c r="AE927161" s="34"/>
      <c r="AF927161" s="34"/>
    </row>
    <row r="927169" spans="31:32" x14ac:dyDescent="0.25">
      <c r="AE927169" s="36"/>
      <c r="AF927169" s="36"/>
    </row>
    <row r="927265" spans="31:32" x14ac:dyDescent="0.25">
      <c r="AE927265" s="34"/>
      <c r="AF927265" s="34"/>
    </row>
    <row r="927273" spans="31:32" x14ac:dyDescent="0.25">
      <c r="AE927273" s="36"/>
      <c r="AF927273" s="36"/>
    </row>
    <row r="927369" spans="31:32" x14ac:dyDescent="0.25">
      <c r="AE927369" s="34"/>
      <c r="AF927369" s="34"/>
    </row>
    <row r="927377" spans="31:32" x14ac:dyDescent="0.25">
      <c r="AE927377" s="36"/>
      <c r="AF927377" s="36"/>
    </row>
    <row r="927473" spans="31:32" x14ac:dyDescent="0.25">
      <c r="AE927473" s="34"/>
      <c r="AF927473" s="34"/>
    </row>
    <row r="927481" spans="31:32" x14ac:dyDescent="0.25">
      <c r="AE927481" s="36"/>
      <c r="AF927481" s="36"/>
    </row>
    <row r="927577" spans="31:32" x14ac:dyDescent="0.25">
      <c r="AE927577" s="34"/>
      <c r="AF927577" s="34"/>
    </row>
    <row r="927585" spans="31:32" x14ac:dyDescent="0.25">
      <c r="AE927585" s="36"/>
      <c r="AF927585" s="36"/>
    </row>
    <row r="927681" spans="31:32" x14ac:dyDescent="0.25">
      <c r="AE927681" s="34"/>
      <c r="AF927681" s="34"/>
    </row>
    <row r="927689" spans="31:32" x14ac:dyDescent="0.25">
      <c r="AE927689" s="36"/>
      <c r="AF927689" s="36"/>
    </row>
    <row r="927785" spans="31:32" x14ac:dyDescent="0.25">
      <c r="AE927785" s="34"/>
      <c r="AF927785" s="34"/>
    </row>
    <row r="927793" spans="31:32" x14ac:dyDescent="0.25">
      <c r="AE927793" s="36"/>
      <c r="AF927793" s="36"/>
    </row>
    <row r="927889" spans="31:32" x14ac:dyDescent="0.25">
      <c r="AE927889" s="34"/>
      <c r="AF927889" s="34"/>
    </row>
    <row r="927897" spans="31:32" x14ac:dyDescent="0.25">
      <c r="AE927897" s="36"/>
      <c r="AF927897" s="36"/>
    </row>
    <row r="927993" spans="31:32" x14ac:dyDescent="0.25">
      <c r="AE927993" s="34"/>
      <c r="AF927993" s="34"/>
    </row>
    <row r="928001" spans="31:32" x14ac:dyDescent="0.25">
      <c r="AE928001" s="36"/>
      <c r="AF928001" s="36"/>
    </row>
    <row r="928097" spans="31:32" x14ac:dyDescent="0.25">
      <c r="AE928097" s="34"/>
      <c r="AF928097" s="34"/>
    </row>
    <row r="928105" spans="31:32" x14ac:dyDescent="0.25">
      <c r="AE928105" s="36"/>
      <c r="AF928105" s="36"/>
    </row>
    <row r="928201" spans="31:32" x14ac:dyDescent="0.25">
      <c r="AE928201" s="34"/>
      <c r="AF928201" s="34"/>
    </row>
    <row r="928209" spans="31:32" x14ac:dyDescent="0.25">
      <c r="AE928209" s="36"/>
      <c r="AF928209" s="36"/>
    </row>
    <row r="928305" spans="31:32" x14ac:dyDescent="0.25">
      <c r="AE928305" s="34"/>
      <c r="AF928305" s="34"/>
    </row>
    <row r="928313" spans="31:32" x14ac:dyDescent="0.25">
      <c r="AE928313" s="36"/>
      <c r="AF928313" s="36"/>
    </row>
    <row r="928409" spans="31:32" x14ac:dyDescent="0.25">
      <c r="AE928409" s="34"/>
      <c r="AF928409" s="34"/>
    </row>
    <row r="928417" spans="31:32" x14ac:dyDescent="0.25">
      <c r="AE928417" s="36"/>
      <c r="AF928417" s="36"/>
    </row>
    <row r="928513" spans="31:32" x14ac:dyDescent="0.25">
      <c r="AE928513" s="34"/>
      <c r="AF928513" s="34"/>
    </row>
    <row r="928521" spans="31:32" x14ac:dyDescent="0.25">
      <c r="AE928521" s="36"/>
      <c r="AF928521" s="36"/>
    </row>
    <row r="928617" spans="31:32" x14ac:dyDescent="0.25">
      <c r="AE928617" s="34"/>
      <c r="AF928617" s="34"/>
    </row>
    <row r="928625" spans="31:32" x14ac:dyDescent="0.25">
      <c r="AE928625" s="36"/>
      <c r="AF928625" s="36"/>
    </row>
    <row r="928721" spans="31:32" x14ac:dyDescent="0.25">
      <c r="AE928721" s="34"/>
      <c r="AF928721" s="34"/>
    </row>
    <row r="928729" spans="31:32" x14ac:dyDescent="0.25">
      <c r="AE928729" s="36"/>
      <c r="AF928729" s="36"/>
    </row>
    <row r="928825" spans="31:32" x14ac:dyDescent="0.25">
      <c r="AE928825" s="34"/>
      <c r="AF928825" s="34"/>
    </row>
    <row r="928833" spans="31:32" x14ac:dyDescent="0.25">
      <c r="AE928833" s="36"/>
      <c r="AF928833" s="36"/>
    </row>
    <row r="928929" spans="31:32" x14ac:dyDescent="0.25">
      <c r="AE928929" s="34"/>
      <c r="AF928929" s="34"/>
    </row>
    <row r="928937" spans="31:32" x14ac:dyDescent="0.25">
      <c r="AE928937" s="36"/>
      <c r="AF928937" s="36"/>
    </row>
    <row r="929033" spans="31:32" x14ac:dyDescent="0.25">
      <c r="AE929033" s="34"/>
      <c r="AF929033" s="34"/>
    </row>
    <row r="929041" spans="31:32" x14ac:dyDescent="0.25">
      <c r="AE929041" s="36"/>
      <c r="AF929041" s="36"/>
    </row>
    <row r="929137" spans="31:32" x14ac:dyDescent="0.25">
      <c r="AE929137" s="34"/>
      <c r="AF929137" s="34"/>
    </row>
    <row r="929145" spans="31:32" x14ac:dyDescent="0.25">
      <c r="AE929145" s="36"/>
      <c r="AF929145" s="36"/>
    </row>
    <row r="929241" spans="31:32" x14ac:dyDescent="0.25">
      <c r="AE929241" s="34"/>
      <c r="AF929241" s="34"/>
    </row>
    <row r="929249" spans="31:32" x14ac:dyDescent="0.25">
      <c r="AE929249" s="36"/>
      <c r="AF929249" s="36"/>
    </row>
    <row r="929345" spans="31:32" x14ac:dyDescent="0.25">
      <c r="AE929345" s="34"/>
      <c r="AF929345" s="34"/>
    </row>
    <row r="929353" spans="31:32" x14ac:dyDescent="0.25">
      <c r="AE929353" s="36"/>
      <c r="AF929353" s="36"/>
    </row>
    <row r="929449" spans="31:32" x14ac:dyDescent="0.25">
      <c r="AE929449" s="34"/>
      <c r="AF929449" s="34"/>
    </row>
    <row r="929457" spans="31:32" x14ac:dyDescent="0.25">
      <c r="AE929457" s="36"/>
      <c r="AF929457" s="36"/>
    </row>
    <row r="929553" spans="31:32" x14ac:dyDescent="0.25">
      <c r="AE929553" s="34"/>
      <c r="AF929553" s="34"/>
    </row>
    <row r="929561" spans="31:32" x14ac:dyDescent="0.25">
      <c r="AE929561" s="36"/>
      <c r="AF929561" s="36"/>
    </row>
    <row r="929657" spans="31:32" x14ac:dyDescent="0.25">
      <c r="AE929657" s="34"/>
      <c r="AF929657" s="34"/>
    </row>
    <row r="929665" spans="31:32" x14ac:dyDescent="0.25">
      <c r="AE929665" s="36"/>
      <c r="AF929665" s="36"/>
    </row>
    <row r="929761" spans="31:32" x14ac:dyDescent="0.25">
      <c r="AE929761" s="34"/>
      <c r="AF929761" s="34"/>
    </row>
    <row r="929769" spans="31:32" x14ac:dyDescent="0.25">
      <c r="AE929769" s="36"/>
      <c r="AF929769" s="36"/>
    </row>
    <row r="929865" spans="31:32" x14ac:dyDescent="0.25">
      <c r="AE929865" s="34"/>
      <c r="AF929865" s="34"/>
    </row>
    <row r="929873" spans="31:32" x14ac:dyDescent="0.25">
      <c r="AE929873" s="36"/>
      <c r="AF929873" s="36"/>
    </row>
    <row r="929969" spans="31:32" x14ac:dyDescent="0.25">
      <c r="AE929969" s="34"/>
      <c r="AF929969" s="34"/>
    </row>
    <row r="929977" spans="31:32" x14ac:dyDescent="0.25">
      <c r="AE929977" s="36"/>
      <c r="AF929977" s="36"/>
    </row>
    <row r="930073" spans="31:32" x14ac:dyDescent="0.25">
      <c r="AE930073" s="34"/>
      <c r="AF930073" s="34"/>
    </row>
    <row r="930081" spans="31:32" x14ac:dyDescent="0.25">
      <c r="AE930081" s="36"/>
      <c r="AF930081" s="36"/>
    </row>
    <row r="930177" spans="31:32" x14ac:dyDescent="0.25">
      <c r="AE930177" s="34"/>
      <c r="AF930177" s="34"/>
    </row>
    <row r="930185" spans="31:32" x14ac:dyDescent="0.25">
      <c r="AE930185" s="36"/>
      <c r="AF930185" s="36"/>
    </row>
    <row r="930281" spans="31:32" x14ac:dyDescent="0.25">
      <c r="AE930281" s="34"/>
      <c r="AF930281" s="34"/>
    </row>
    <row r="930289" spans="31:32" x14ac:dyDescent="0.25">
      <c r="AE930289" s="36"/>
      <c r="AF930289" s="36"/>
    </row>
    <row r="930385" spans="31:32" x14ac:dyDescent="0.25">
      <c r="AE930385" s="34"/>
      <c r="AF930385" s="34"/>
    </row>
    <row r="930393" spans="31:32" x14ac:dyDescent="0.25">
      <c r="AE930393" s="36"/>
      <c r="AF930393" s="36"/>
    </row>
    <row r="930489" spans="31:32" x14ac:dyDescent="0.25">
      <c r="AE930489" s="34"/>
      <c r="AF930489" s="34"/>
    </row>
    <row r="930497" spans="31:32" x14ac:dyDescent="0.25">
      <c r="AE930497" s="36"/>
      <c r="AF930497" s="36"/>
    </row>
    <row r="930593" spans="31:32" x14ac:dyDescent="0.25">
      <c r="AE930593" s="34"/>
      <c r="AF930593" s="34"/>
    </row>
    <row r="930601" spans="31:32" x14ac:dyDescent="0.25">
      <c r="AE930601" s="36"/>
      <c r="AF930601" s="36"/>
    </row>
    <row r="930697" spans="31:32" x14ac:dyDescent="0.25">
      <c r="AE930697" s="34"/>
      <c r="AF930697" s="34"/>
    </row>
    <row r="930705" spans="31:32" x14ac:dyDescent="0.25">
      <c r="AE930705" s="36"/>
      <c r="AF930705" s="36"/>
    </row>
    <row r="930801" spans="31:32" x14ac:dyDescent="0.25">
      <c r="AE930801" s="34"/>
      <c r="AF930801" s="34"/>
    </row>
    <row r="930809" spans="31:32" x14ac:dyDescent="0.25">
      <c r="AE930809" s="36"/>
      <c r="AF930809" s="36"/>
    </row>
    <row r="930905" spans="31:32" x14ac:dyDescent="0.25">
      <c r="AE930905" s="34"/>
      <c r="AF930905" s="34"/>
    </row>
    <row r="930913" spans="31:32" x14ac:dyDescent="0.25">
      <c r="AE930913" s="36"/>
      <c r="AF930913" s="36"/>
    </row>
    <row r="931009" spans="31:32" x14ac:dyDescent="0.25">
      <c r="AE931009" s="34"/>
      <c r="AF931009" s="34"/>
    </row>
    <row r="931017" spans="31:32" x14ac:dyDescent="0.25">
      <c r="AE931017" s="36"/>
      <c r="AF931017" s="36"/>
    </row>
    <row r="931113" spans="31:32" x14ac:dyDescent="0.25">
      <c r="AE931113" s="34"/>
      <c r="AF931113" s="34"/>
    </row>
    <row r="931121" spans="31:32" x14ac:dyDescent="0.25">
      <c r="AE931121" s="36"/>
      <c r="AF931121" s="36"/>
    </row>
    <row r="931217" spans="31:32" x14ac:dyDescent="0.25">
      <c r="AE931217" s="34"/>
      <c r="AF931217" s="34"/>
    </row>
    <row r="931225" spans="31:32" x14ac:dyDescent="0.25">
      <c r="AE931225" s="36"/>
      <c r="AF931225" s="36"/>
    </row>
    <row r="931321" spans="31:32" x14ac:dyDescent="0.25">
      <c r="AE931321" s="34"/>
      <c r="AF931321" s="34"/>
    </row>
    <row r="931329" spans="31:32" x14ac:dyDescent="0.25">
      <c r="AE931329" s="36"/>
      <c r="AF931329" s="36"/>
    </row>
    <row r="931425" spans="31:32" x14ac:dyDescent="0.25">
      <c r="AE931425" s="34"/>
      <c r="AF931425" s="34"/>
    </row>
    <row r="931433" spans="31:32" x14ac:dyDescent="0.25">
      <c r="AE931433" s="36"/>
      <c r="AF931433" s="36"/>
    </row>
    <row r="931529" spans="31:32" x14ac:dyDescent="0.25">
      <c r="AE931529" s="34"/>
      <c r="AF931529" s="34"/>
    </row>
    <row r="931537" spans="31:32" x14ac:dyDescent="0.25">
      <c r="AE931537" s="36"/>
      <c r="AF931537" s="36"/>
    </row>
    <row r="931633" spans="31:32" x14ac:dyDescent="0.25">
      <c r="AE931633" s="34"/>
      <c r="AF931633" s="34"/>
    </row>
    <row r="931641" spans="31:32" x14ac:dyDescent="0.25">
      <c r="AE931641" s="36"/>
      <c r="AF931641" s="36"/>
    </row>
    <row r="931737" spans="31:32" x14ac:dyDescent="0.25">
      <c r="AE931737" s="34"/>
      <c r="AF931737" s="34"/>
    </row>
    <row r="931745" spans="31:32" x14ac:dyDescent="0.25">
      <c r="AE931745" s="36"/>
      <c r="AF931745" s="36"/>
    </row>
    <row r="931841" spans="31:32" x14ac:dyDescent="0.25">
      <c r="AE931841" s="34"/>
      <c r="AF931841" s="34"/>
    </row>
    <row r="931849" spans="31:32" x14ac:dyDescent="0.25">
      <c r="AE931849" s="36"/>
      <c r="AF931849" s="36"/>
    </row>
    <row r="931945" spans="31:32" x14ac:dyDescent="0.25">
      <c r="AE931945" s="34"/>
      <c r="AF931945" s="34"/>
    </row>
    <row r="931953" spans="31:32" x14ac:dyDescent="0.25">
      <c r="AE931953" s="36"/>
      <c r="AF931953" s="36"/>
    </row>
    <row r="932049" spans="31:32" x14ac:dyDescent="0.25">
      <c r="AE932049" s="34"/>
      <c r="AF932049" s="34"/>
    </row>
    <row r="932057" spans="31:32" x14ac:dyDescent="0.25">
      <c r="AE932057" s="36"/>
      <c r="AF932057" s="36"/>
    </row>
    <row r="932153" spans="31:32" x14ac:dyDescent="0.25">
      <c r="AE932153" s="34"/>
      <c r="AF932153" s="34"/>
    </row>
    <row r="932161" spans="31:32" x14ac:dyDescent="0.25">
      <c r="AE932161" s="36"/>
      <c r="AF932161" s="36"/>
    </row>
    <row r="932257" spans="31:32" x14ac:dyDescent="0.25">
      <c r="AE932257" s="34"/>
      <c r="AF932257" s="34"/>
    </row>
    <row r="932265" spans="31:32" x14ac:dyDescent="0.25">
      <c r="AE932265" s="36"/>
      <c r="AF932265" s="36"/>
    </row>
    <row r="932361" spans="31:32" x14ac:dyDescent="0.25">
      <c r="AE932361" s="34"/>
      <c r="AF932361" s="34"/>
    </row>
    <row r="932369" spans="31:32" x14ac:dyDescent="0.25">
      <c r="AE932369" s="36"/>
      <c r="AF932369" s="36"/>
    </row>
    <row r="932465" spans="31:32" x14ac:dyDescent="0.25">
      <c r="AE932465" s="34"/>
      <c r="AF932465" s="34"/>
    </row>
    <row r="932473" spans="31:32" x14ac:dyDescent="0.25">
      <c r="AE932473" s="36"/>
      <c r="AF932473" s="36"/>
    </row>
    <row r="932569" spans="31:32" x14ac:dyDescent="0.25">
      <c r="AE932569" s="34"/>
      <c r="AF932569" s="34"/>
    </row>
    <row r="932577" spans="31:32" x14ac:dyDescent="0.25">
      <c r="AE932577" s="36"/>
      <c r="AF932577" s="36"/>
    </row>
    <row r="932673" spans="31:32" x14ac:dyDescent="0.25">
      <c r="AE932673" s="34"/>
      <c r="AF932673" s="34"/>
    </row>
    <row r="932681" spans="31:32" x14ac:dyDescent="0.25">
      <c r="AE932681" s="36"/>
      <c r="AF932681" s="36"/>
    </row>
    <row r="932777" spans="31:32" x14ac:dyDescent="0.25">
      <c r="AE932777" s="34"/>
      <c r="AF932777" s="34"/>
    </row>
    <row r="932785" spans="31:32" x14ac:dyDescent="0.25">
      <c r="AE932785" s="36"/>
      <c r="AF932785" s="36"/>
    </row>
    <row r="932881" spans="31:32" x14ac:dyDescent="0.25">
      <c r="AE932881" s="34"/>
      <c r="AF932881" s="34"/>
    </row>
    <row r="932889" spans="31:32" x14ac:dyDescent="0.25">
      <c r="AE932889" s="36"/>
      <c r="AF932889" s="36"/>
    </row>
    <row r="932985" spans="31:32" x14ac:dyDescent="0.25">
      <c r="AE932985" s="34"/>
      <c r="AF932985" s="34"/>
    </row>
    <row r="932993" spans="31:32" x14ac:dyDescent="0.25">
      <c r="AE932993" s="36"/>
      <c r="AF932993" s="36"/>
    </row>
    <row r="933089" spans="31:32" x14ac:dyDescent="0.25">
      <c r="AE933089" s="34"/>
      <c r="AF933089" s="34"/>
    </row>
    <row r="933097" spans="31:32" x14ac:dyDescent="0.25">
      <c r="AE933097" s="36"/>
      <c r="AF933097" s="36"/>
    </row>
    <row r="933193" spans="31:32" x14ac:dyDescent="0.25">
      <c r="AE933193" s="34"/>
      <c r="AF933193" s="34"/>
    </row>
    <row r="933201" spans="31:32" x14ac:dyDescent="0.25">
      <c r="AE933201" s="36"/>
      <c r="AF933201" s="36"/>
    </row>
    <row r="933297" spans="31:32" x14ac:dyDescent="0.25">
      <c r="AE933297" s="34"/>
      <c r="AF933297" s="34"/>
    </row>
    <row r="933305" spans="31:32" x14ac:dyDescent="0.25">
      <c r="AE933305" s="36"/>
      <c r="AF933305" s="36"/>
    </row>
    <row r="933401" spans="31:32" x14ac:dyDescent="0.25">
      <c r="AE933401" s="34"/>
      <c r="AF933401" s="34"/>
    </row>
    <row r="933409" spans="31:32" x14ac:dyDescent="0.25">
      <c r="AE933409" s="36"/>
      <c r="AF933409" s="36"/>
    </row>
    <row r="933505" spans="31:32" x14ac:dyDescent="0.25">
      <c r="AE933505" s="34"/>
      <c r="AF933505" s="34"/>
    </row>
    <row r="933513" spans="31:32" x14ac:dyDescent="0.25">
      <c r="AE933513" s="36"/>
      <c r="AF933513" s="36"/>
    </row>
    <row r="933609" spans="31:32" x14ac:dyDescent="0.25">
      <c r="AE933609" s="34"/>
      <c r="AF933609" s="34"/>
    </row>
    <row r="933617" spans="31:32" x14ac:dyDescent="0.25">
      <c r="AE933617" s="36"/>
      <c r="AF933617" s="36"/>
    </row>
    <row r="933713" spans="31:32" x14ac:dyDescent="0.25">
      <c r="AE933713" s="34"/>
      <c r="AF933713" s="34"/>
    </row>
    <row r="933721" spans="31:32" x14ac:dyDescent="0.25">
      <c r="AE933721" s="36"/>
      <c r="AF933721" s="36"/>
    </row>
    <row r="933817" spans="31:32" x14ac:dyDescent="0.25">
      <c r="AE933817" s="34"/>
      <c r="AF933817" s="34"/>
    </row>
    <row r="933825" spans="31:32" x14ac:dyDescent="0.25">
      <c r="AE933825" s="36"/>
      <c r="AF933825" s="36"/>
    </row>
    <row r="933921" spans="31:32" x14ac:dyDescent="0.25">
      <c r="AE933921" s="34"/>
      <c r="AF933921" s="34"/>
    </row>
    <row r="933929" spans="31:32" x14ac:dyDescent="0.25">
      <c r="AE933929" s="36"/>
      <c r="AF933929" s="36"/>
    </row>
    <row r="934025" spans="31:32" x14ac:dyDescent="0.25">
      <c r="AE934025" s="34"/>
      <c r="AF934025" s="34"/>
    </row>
    <row r="934033" spans="31:32" x14ac:dyDescent="0.25">
      <c r="AE934033" s="36"/>
      <c r="AF934033" s="36"/>
    </row>
    <row r="934129" spans="31:32" x14ac:dyDescent="0.25">
      <c r="AE934129" s="34"/>
      <c r="AF934129" s="34"/>
    </row>
    <row r="934137" spans="31:32" x14ac:dyDescent="0.25">
      <c r="AE934137" s="36"/>
      <c r="AF934137" s="36"/>
    </row>
    <row r="934233" spans="31:32" x14ac:dyDescent="0.25">
      <c r="AE934233" s="34"/>
      <c r="AF934233" s="34"/>
    </row>
    <row r="934241" spans="31:32" x14ac:dyDescent="0.25">
      <c r="AE934241" s="36"/>
      <c r="AF934241" s="36"/>
    </row>
    <row r="934337" spans="31:32" x14ac:dyDescent="0.25">
      <c r="AE934337" s="34"/>
      <c r="AF934337" s="34"/>
    </row>
    <row r="934345" spans="31:32" x14ac:dyDescent="0.25">
      <c r="AE934345" s="36"/>
      <c r="AF934345" s="36"/>
    </row>
    <row r="934441" spans="31:32" x14ac:dyDescent="0.25">
      <c r="AE934441" s="34"/>
      <c r="AF934441" s="34"/>
    </row>
    <row r="934449" spans="31:32" x14ac:dyDescent="0.25">
      <c r="AE934449" s="36"/>
      <c r="AF934449" s="36"/>
    </row>
    <row r="934545" spans="31:32" x14ac:dyDescent="0.25">
      <c r="AE934545" s="34"/>
      <c r="AF934545" s="34"/>
    </row>
    <row r="934553" spans="31:32" x14ac:dyDescent="0.25">
      <c r="AE934553" s="36"/>
      <c r="AF934553" s="36"/>
    </row>
    <row r="934649" spans="31:32" x14ac:dyDescent="0.25">
      <c r="AE934649" s="34"/>
      <c r="AF934649" s="34"/>
    </row>
    <row r="934657" spans="31:32" x14ac:dyDescent="0.25">
      <c r="AE934657" s="36"/>
      <c r="AF934657" s="36"/>
    </row>
    <row r="934753" spans="31:32" x14ac:dyDescent="0.25">
      <c r="AE934753" s="34"/>
      <c r="AF934753" s="34"/>
    </row>
    <row r="934761" spans="31:32" x14ac:dyDescent="0.25">
      <c r="AE934761" s="36"/>
      <c r="AF934761" s="36"/>
    </row>
    <row r="934857" spans="31:32" x14ac:dyDescent="0.25">
      <c r="AE934857" s="34"/>
      <c r="AF934857" s="34"/>
    </row>
    <row r="934865" spans="31:32" x14ac:dyDescent="0.25">
      <c r="AE934865" s="36"/>
      <c r="AF934865" s="36"/>
    </row>
    <row r="934961" spans="31:32" x14ac:dyDescent="0.25">
      <c r="AE934961" s="34"/>
      <c r="AF934961" s="34"/>
    </row>
    <row r="934969" spans="31:32" x14ac:dyDescent="0.25">
      <c r="AE934969" s="36"/>
      <c r="AF934969" s="36"/>
    </row>
    <row r="935065" spans="31:32" x14ac:dyDescent="0.25">
      <c r="AE935065" s="34"/>
      <c r="AF935065" s="34"/>
    </row>
    <row r="935073" spans="31:32" x14ac:dyDescent="0.25">
      <c r="AE935073" s="36"/>
      <c r="AF935073" s="36"/>
    </row>
    <row r="935169" spans="31:32" x14ac:dyDescent="0.25">
      <c r="AE935169" s="34"/>
      <c r="AF935169" s="34"/>
    </row>
    <row r="935177" spans="31:32" x14ac:dyDescent="0.25">
      <c r="AE935177" s="36"/>
      <c r="AF935177" s="36"/>
    </row>
    <row r="935273" spans="31:32" x14ac:dyDescent="0.25">
      <c r="AE935273" s="34"/>
      <c r="AF935273" s="34"/>
    </row>
    <row r="935281" spans="31:32" x14ac:dyDescent="0.25">
      <c r="AE935281" s="36"/>
      <c r="AF935281" s="36"/>
    </row>
    <row r="935377" spans="31:32" x14ac:dyDescent="0.25">
      <c r="AE935377" s="34"/>
      <c r="AF935377" s="34"/>
    </row>
    <row r="935385" spans="31:32" x14ac:dyDescent="0.25">
      <c r="AE935385" s="36"/>
      <c r="AF935385" s="36"/>
    </row>
    <row r="935481" spans="31:32" x14ac:dyDescent="0.25">
      <c r="AE935481" s="34"/>
      <c r="AF935481" s="34"/>
    </row>
    <row r="935489" spans="31:32" x14ac:dyDescent="0.25">
      <c r="AE935489" s="36"/>
      <c r="AF935489" s="36"/>
    </row>
    <row r="935585" spans="31:32" x14ac:dyDescent="0.25">
      <c r="AE935585" s="34"/>
      <c r="AF935585" s="34"/>
    </row>
    <row r="935593" spans="31:32" x14ac:dyDescent="0.25">
      <c r="AE935593" s="36"/>
      <c r="AF935593" s="36"/>
    </row>
    <row r="935689" spans="31:32" x14ac:dyDescent="0.25">
      <c r="AE935689" s="34"/>
      <c r="AF935689" s="34"/>
    </row>
    <row r="935697" spans="31:32" x14ac:dyDescent="0.25">
      <c r="AE935697" s="36"/>
      <c r="AF935697" s="36"/>
    </row>
    <row r="935793" spans="31:32" x14ac:dyDescent="0.25">
      <c r="AE935793" s="34"/>
      <c r="AF935793" s="34"/>
    </row>
    <row r="935801" spans="31:32" x14ac:dyDescent="0.25">
      <c r="AE935801" s="36"/>
      <c r="AF935801" s="36"/>
    </row>
    <row r="935897" spans="31:32" x14ac:dyDescent="0.25">
      <c r="AE935897" s="34"/>
      <c r="AF935897" s="34"/>
    </row>
    <row r="935905" spans="31:32" x14ac:dyDescent="0.25">
      <c r="AE935905" s="36"/>
      <c r="AF935905" s="36"/>
    </row>
    <row r="936001" spans="31:32" x14ac:dyDescent="0.25">
      <c r="AE936001" s="34"/>
      <c r="AF936001" s="34"/>
    </row>
    <row r="936009" spans="31:32" x14ac:dyDescent="0.25">
      <c r="AE936009" s="36"/>
      <c r="AF936009" s="36"/>
    </row>
    <row r="936105" spans="31:32" x14ac:dyDescent="0.25">
      <c r="AE936105" s="34"/>
      <c r="AF936105" s="34"/>
    </row>
    <row r="936113" spans="31:32" x14ac:dyDescent="0.25">
      <c r="AE936113" s="36"/>
      <c r="AF936113" s="36"/>
    </row>
    <row r="936209" spans="31:32" x14ac:dyDescent="0.25">
      <c r="AE936209" s="34"/>
      <c r="AF936209" s="34"/>
    </row>
    <row r="936217" spans="31:32" x14ac:dyDescent="0.25">
      <c r="AE936217" s="36"/>
      <c r="AF936217" s="36"/>
    </row>
    <row r="936313" spans="31:32" x14ac:dyDescent="0.25">
      <c r="AE936313" s="34"/>
      <c r="AF936313" s="34"/>
    </row>
    <row r="936321" spans="31:32" x14ac:dyDescent="0.25">
      <c r="AE936321" s="36"/>
      <c r="AF936321" s="36"/>
    </row>
    <row r="936417" spans="31:32" x14ac:dyDescent="0.25">
      <c r="AE936417" s="34"/>
      <c r="AF936417" s="34"/>
    </row>
    <row r="936425" spans="31:32" x14ac:dyDescent="0.25">
      <c r="AE936425" s="36"/>
      <c r="AF936425" s="36"/>
    </row>
    <row r="936521" spans="31:32" x14ac:dyDescent="0.25">
      <c r="AE936521" s="34"/>
      <c r="AF936521" s="34"/>
    </row>
    <row r="936529" spans="31:32" x14ac:dyDescent="0.25">
      <c r="AE936529" s="36"/>
      <c r="AF936529" s="36"/>
    </row>
    <row r="936625" spans="31:32" x14ac:dyDescent="0.25">
      <c r="AE936625" s="34"/>
      <c r="AF936625" s="34"/>
    </row>
    <row r="936633" spans="31:32" x14ac:dyDescent="0.25">
      <c r="AE936633" s="36"/>
      <c r="AF936633" s="36"/>
    </row>
    <row r="936729" spans="31:32" x14ac:dyDescent="0.25">
      <c r="AE936729" s="34"/>
      <c r="AF936729" s="34"/>
    </row>
    <row r="936737" spans="31:32" x14ac:dyDescent="0.25">
      <c r="AE936737" s="36"/>
      <c r="AF936737" s="36"/>
    </row>
    <row r="936833" spans="31:32" x14ac:dyDescent="0.25">
      <c r="AE936833" s="34"/>
      <c r="AF936833" s="34"/>
    </row>
    <row r="936841" spans="31:32" x14ac:dyDescent="0.25">
      <c r="AE936841" s="36"/>
      <c r="AF936841" s="36"/>
    </row>
    <row r="936937" spans="31:32" x14ac:dyDescent="0.25">
      <c r="AE936937" s="34"/>
      <c r="AF936937" s="34"/>
    </row>
    <row r="936945" spans="31:32" x14ac:dyDescent="0.25">
      <c r="AE936945" s="36"/>
      <c r="AF936945" s="36"/>
    </row>
    <row r="937041" spans="31:32" x14ac:dyDescent="0.25">
      <c r="AE937041" s="34"/>
      <c r="AF937041" s="34"/>
    </row>
    <row r="937049" spans="31:32" x14ac:dyDescent="0.25">
      <c r="AE937049" s="36"/>
      <c r="AF937049" s="36"/>
    </row>
    <row r="937145" spans="31:32" x14ac:dyDescent="0.25">
      <c r="AE937145" s="34"/>
      <c r="AF937145" s="34"/>
    </row>
    <row r="937153" spans="31:32" x14ac:dyDescent="0.25">
      <c r="AE937153" s="36"/>
      <c r="AF937153" s="36"/>
    </row>
    <row r="937249" spans="31:32" x14ac:dyDescent="0.25">
      <c r="AE937249" s="34"/>
      <c r="AF937249" s="34"/>
    </row>
    <row r="937257" spans="31:32" x14ac:dyDescent="0.25">
      <c r="AE937257" s="36"/>
      <c r="AF937257" s="36"/>
    </row>
    <row r="937353" spans="31:32" x14ac:dyDescent="0.25">
      <c r="AE937353" s="34"/>
      <c r="AF937353" s="34"/>
    </row>
    <row r="937361" spans="31:32" x14ac:dyDescent="0.25">
      <c r="AE937361" s="36"/>
      <c r="AF937361" s="36"/>
    </row>
    <row r="937457" spans="31:32" x14ac:dyDescent="0.25">
      <c r="AE937457" s="34"/>
      <c r="AF937457" s="34"/>
    </row>
    <row r="937465" spans="31:32" x14ac:dyDescent="0.25">
      <c r="AE937465" s="36"/>
      <c r="AF937465" s="36"/>
    </row>
    <row r="937561" spans="31:32" x14ac:dyDescent="0.25">
      <c r="AE937561" s="34"/>
      <c r="AF937561" s="34"/>
    </row>
    <row r="937569" spans="31:32" x14ac:dyDescent="0.25">
      <c r="AE937569" s="36"/>
      <c r="AF937569" s="36"/>
    </row>
    <row r="937665" spans="31:32" x14ac:dyDescent="0.25">
      <c r="AE937665" s="34"/>
      <c r="AF937665" s="34"/>
    </row>
    <row r="937673" spans="31:32" x14ac:dyDescent="0.25">
      <c r="AE937673" s="36"/>
      <c r="AF937673" s="36"/>
    </row>
    <row r="937769" spans="31:32" x14ac:dyDescent="0.25">
      <c r="AE937769" s="34"/>
      <c r="AF937769" s="34"/>
    </row>
    <row r="937777" spans="31:32" x14ac:dyDescent="0.25">
      <c r="AE937777" s="36"/>
      <c r="AF937777" s="36"/>
    </row>
    <row r="937873" spans="31:32" x14ac:dyDescent="0.25">
      <c r="AE937873" s="34"/>
      <c r="AF937873" s="34"/>
    </row>
    <row r="937881" spans="31:32" x14ac:dyDescent="0.25">
      <c r="AE937881" s="36"/>
      <c r="AF937881" s="36"/>
    </row>
    <row r="937977" spans="31:32" x14ac:dyDescent="0.25">
      <c r="AE937977" s="34"/>
      <c r="AF937977" s="34"/>
    </row>
    <row r="937985" spans="31:32" x14ac:dyDescent="0.25">
      <c r="AE937985" s="36"/>
      <c r="AF937985" s="36"/>
    </row>
    <row r="938081" spans="31:32" x14ac:dyDescent="0.25">
      <c r="AE938081" s="34"/>
      <c r="AF938081" s="34"/>
    </row>
    <row r="938089" spans="31:32" x14ac:dyDescent="0.25">
      <c r="AE938089" s="36"/>
      <c r="AF938089" s="36"/>
    </row>
    <row r="938185" spans="31:32" x14ac:dyDescent="0.25">
      <c r="AE938185" s="34"/>
      <c r="AF938185" s="34"/>
    </row>
    <row r="938193" spans="31:32" x14ac:dyDescent="0.25">
      <c r="AE938193" s="36"/>
      <c r="AF938193" s="36"/>
    </row>
    <row r="938289" spans="31:32" x14ac:dyDescent="0.25">
      <c r="AE938289" s="34"/>
      <c r="AF938289" s="34"/>
    </row>
    <row r="938297" spans="31:32" x14ac:dyDescent="0.25">
      <c r="AE938297" s="36"/>
      <c r="AF938297" s="36"/>
    </row>
    <row r="938393" spans="31:32" x14ac:dyDescent="0.25">
      <c r="AE938393" s="34"/>
      <c r="AF938393" s="34"/>
    </row>
    <row r="938401" spans="31:32" x14ac:dyDescent="0.25">
      <c r="AE938401" s="36"/>
      <c r="AF938401" s="36"/>
    </row>
    <row r="938497" spans="31:32" x14ac:dyDescent="0.25">
      <c r="AE938497" s="34"/>
      <c r="AF938497" s="34"/>
    </row>
    <row r="938505" spans="31:32" x14ac:dyDescent="0.25">
      <c r="AE938505" s="36"/>
      <c r="AF938505" s="36"/>
    </row>
    <row r="938601" spans="31:32" x14ac:dyDescent="0.25">
      <c r="AE938601" s="34"/>
      <c r="AF938601" s="34"/>
    </row>
    <row r="938609" spans="31:32" x14ac:dyDescent="0.25">
      <c r="AE938609" s="36"/>
      <c r="AF938609" s="36"/>
    </row>
    <row r="938705" spans="31:32" x14ac:dyDescent="0.25">
      <c r="AE938705" s="34"/>
      <c r="AF938705" s="34"/>
    </row>
    <row r="938713" spans="31:32" x14ac:dyDescent="0.25">
      <c r="AE938713" s="36"/>
      <c r="AF938713" s="36"/>
    </row>
    <row r="938809" spans="31:32" x14ac:dyDescent="0.25">
      <c r="AE938809" s="34"/>
      <c r="AF938809" s="34"/>
    </row>
    <row r="938817" spans="31:32" x14ac:dyDescent="0.25">
      <c r="AE938817" s="36"/>
      <c r="AF938817" s="36"/>
    </row>
    <row r="938913" spans="31:32" x14ac:dyDescent="0.25">
      <c r="AE938913" s="34"/>
      <c r="AF938913" s="34"/>
    </row>
    <row r="938921" spans="31:32" x14ac:dyDescent="0.25">
      <c r="AE938921" s="36"/>
      <c r="AF938921" s="36"/>
    </row>
    <row r="939017" spans="31:32" x14ac:dyDescent="0.25">
      <c r="AE939017" s="34"/>
      <c r="AF939017" s="34"/>
    </row>
    <row r="939025" spans="31:32" x14ac:dyDescent="0.25">
      <c r="AE939025" s="36"/>
      <c r="AF939025" s="36"/>
    </row>
    <row r="939121" spans="31:32" x14ac:dyDescent="0.25">
      <c r="AE939121" s="34"/>
      <c r="AF939121" s="34"/>
    </row>
    <row r="939129" spans="31:32" x14ac:dyDescent="0.25">
      <c r="AE939129" s="36"/>
      <c r="AF939129" s="36"/>
    </row>
    <row r="939225" spans="31:32" x14ac:dyDescent="0.25">
      <c r="AE939225" s="34"/>
      <c r="AF939225" s="34"/>
    </row>
    <row r="939233" spans="31:32" x14ac:dyDescent="0.25">
      <c r="AE939233" s="36"/>
      <c r="AF939233" s="36"/>
    </row>
    <row r="939329" spans="31:32" x14ac:dyDescent="0.25">
      <c r="AE939329" s="34"/>
      <c r="AF939329" s="34"/>
    </row>
    <row r="939337" spans="31:32" x14ac:dyDescent="0.25">
      <c r="AE939337" s="36"/>
      <c r="AF939337" s="36"/>
    </row>
    <row r="939433" spans="31:32" x14ac:dyDescent="0.25">
      <c r="AE939433" s="34"/>
      <c r="AF939433" s="34"/>
    </row>
    <row r="939441" spans="31:32" x14ac:dyDescent="0.25">
      <c r="AE939441" s="36"/>
      <c r="AF939441" s="36"/>
    </row>
    <row r="939537" spans="31:32" x14ac:dyDescent="0.25">
      <c r="AE939537" s="34"/>
      <c r="AF939537" s="34"/>
    </row>
    <row r="939545" spans="31:32" x14ac:dyDescent="0.25">
      <c r="AE939545" s="36"/>
      <c r="AF939545" s="36"/>
    </row>
    <row r="939641" spans="31:32" x14ac:dyDescent="0.25">
      <c r="AE939641" s="34"/>
      <c r="AF939641" s="34"/>
    </row>
    <row r="939649" spans="31:32" x14ac:dyDescent="0.25">
      <c r="AE939649" s="36"/>
      <c r="AF939649" s="36"/>
    </row>
    <row r="939745" spans="31:32" x14ac:dyDescent="0.25">
      <c r="AE939745" s="34"/>
      <c r="AF939745" s="34"/>
    </row>
    <row r="939753" spans="31:32" x14ac:dyDescent="0.25">
      <c r="AE939753" s="36"/>
      <c r="AF939753" s="36"/>
    </row>
    <row r="939849" spans="31:32" x14ac:dyDescent="0.25">
      <c r="AE939849" s="34"/>
      <c r="AF939849" s="34"/>
    </row>
    <row r="939857" spans="31:32" x14ac:dyDescent="0.25">
      <c r="AE939857" s="36"/>
      <c r="AF939857" s="36"/>
    </row>
    <row r="939953" spans="31:32" x14ac:dyDescent="0.25">
      <c r="AE939953" s="34"/>
      <c r="AF939953" s="34"/>
    </row>
    <row r="939961" spans="31:32" x14ac:dyDescent="0.25">
      <c r="AE939961" s="36"/>
      <c r="AF939961" s="36"/>
    </row>
    <row r="940057" spans="31:32" x14ac:dyDescent="0.25">
      <c r="AE940057" s="34"/>
      <c r="AF940057" s="34"/>
    </row>
    <row r="940065" spans="31:32" x14ac:dyDescent="0.25">
      <c r="AE940065" s="36"/>
      <c r="AF940065" s="36"/>
    </row>
    <row r="940161" spans="31:32" x14ac:dyDescent="0.25">
      <c r="AE940161" s="34"/>
      <c r="AF940161" s="34"/>
    </row>
    <row r="940169" spans="31:32" x14ac:dyDescent="0.25">
      <c r="AE940169" s="36"/>
      <c r="AF940169" s="36"/>
    </row>
    <row r="940265" spans="31:32" x14ac:dyDescent="0.25">
      <c r="AE940265" s="34"/>
      <c r="AF940265" s="34"/>
    </row>
    <row r="940273" spans="31:32" x14ac:dyDescent="0.25">
      <c r="AE940273" s="36"/>
      <c r="AF940273" s="36"/>
    </row>
    <row r="940369" spans="31:32" x14ac:dyDescent="0.25">
      <c r="AE940369" s="34"/>
      <c r="AF940369" s="34"/>
    </row>
    <row r="940377" spans="31:32" x14ac:dyDescent="0.25">
      <c r="AE940377" s="36"/>
      <c r="AF940377" s="36"/>
    </row>
    <row r="940473" spans="31:32" x14ac:dyDescent="0.25">
      <c r="AE940473" s="34"/>
      <c r="AF940473" s="34"/>
    </row>
    <row r="940481" spans="31:32" x14ac:dyDescent="0.25">
      <c r="AE940481" s="36"/>
      <c r="AF940481" s="36"/>
    </row>
    <row r="940577" spans="31:32" x14ac:dyDescent="0.25">
      <c r="AE940577" s="34"/>
      <c r="AF940577" s="34"/>
    </row>
    <row r="940585" spans="31:32" x14ac:dyDescent="0.25">
      <c r="AE940585" s="36"/>
      <c r="AF940585" s="36"/>
    </row>
    <row r="940681" spans="31:32" x14ac:dyDescent="0.25">
      <c r="AE940681" s="34"/>
      <c r="AF940681" s="34"/>
    </row>
    <row r="940689" spans="31:32" x14ac:dyDescent="0.25">
      <c r="AE940689" s="36"/>
      <c r="AF940689" s="36"/>
    </row>
    <row r="940785" spans="31:32" x14ac:dyDescent="0.25">
      <c r="AE940785" s="34"/>
      <c r="AF940785" s="34"/>
    </row>
    <row r="940793" spans="31:32" x14ac:dyDescent="0.25">
      <c r="AE940793" s="36"/>
      <c r="AF940793" s="36"/>
    </row>
    <row r="940889" spans="31:32" x14ac:dyDescent="0.25">
      <c r="AE940889" s="34"/>
      <c r="AF940889" s="34"/>
    </row>
    <row r="940897" spans="31:32" x14ac:dyDescent="0.25">
      <c r="AE940897" s="36"/>
      <c r="AF940897" s="36"/>
    </row>
    <row r="940993" spans="31:32" x14ac:dyDescent="0.25">
      <c r="AE940993" s="34"/>
      <c r="AF940993" s="34"/>
    </row>
    <row r="941001" spans="31:32" x14ac:dyDescent="0.25">
      <c r="AE941001" s="36"/>
      <c r="AF941001" s="36"/>
    </row>
    <row r="941097" spans="31:32" x14ac:dyDescent="0.25">
      <c r="AE941097" s="34"/>
      <c r="AF941097" s="34"/>
    </row>
    <row r="941105" spans="31:32" x14ac:dyDescent="0.25">
      <c r="AE941105" s="36"/>
      <c r="AF941105" s="36"/>
    </row>
    <row r="941201" spans="31:32" x14ac:dyDescent="0.25">
      <c r="AE941201" s="34"/>
      <c r="AF941201" s="34"/>
    </row>
    <row r="941209" spans="31:32" x14ac:dyDescent="0.25">
      <c r="AE941209" s="36"/>
      <c r="AF941209" s="36"/>
    </row>
    <row r="941305" spans="31:32" x14ac:dyDescent="0.25">
      <c r="AE941305" s="34"/>
      <c r="AF941305" s="34"/>
    </row>
    <row r="941313" spans="31:32" x14ac:dyDescent="0.25">
      <c r="AE941313" s="36"/>
      <c r="AF941313" s="36"/>
    </row>
    <row r="941409" spans="31:32" x14ac:dyDescent="0.25">
      <c r="AE941409" s="34"/>
      <c r="AF941409" s="34"/>
    </row>
    <row r="941417" spans="31:32" x14ac:dyDescent="0.25">
      <c r="AE941417" s="36"/>
      <c r="AF941417" s="36"/>
    </row>
    <row r="941513" spans="31:32" x14ac:dyDescent="0.25">
      <c r="AE941513" s="34"/>
      <c r="AF941513" s="34"/>
    </row>
    <row r="941521" spans="31:32" x14ac:dyDescent="0.25">
      <c r="AE941521" s="36"/>
      <c r="AF941521" s="36"/>
    </row>
    <row r="941617" spans="31:32" x14ac:dyDescent="0.25">
      <c r="AE941617" s="34"/>
      <c r="AF941617" s="34"/>
    </row>
    <row r="941625" spans="31:32" x14ac:dyDescent="0.25">
      <c r="AE941625" s="36"/>
      <c r="AF941625" s="36"/>
    </row>
    <row r="941721" spans="31:32" x14ac:dyDescent="0.25">
      <c r="AE941721" s="34"/>
      <c r="AF941721" s="34"/>
    </row>
    <row r="941729" spans="31:32" x14ac:dyDescent="0.25">
      <c r="AE941729" s="36"/>
      <c r="AF941729" s="36"/>
    </row>
    <row r="941825" spans="31:32" x14ac:dyDescent="0.25">
      <c r="AE941825" s="34"/>
      <c r="AF941825" s="34"/>
    </row>
    <row r="941833" spans="31:32" x14ac:dyDescent="0.25">
      <c r="AE941833" s="36"/>
      <c r="AF941833" s="36"/>
    </row>
    <row r="941929" spans="31:32" x14ac:dyDescent="0.25">
      <c r="AE941929" s="34"/>
      <c r="AF941929" s="34"/>
    </row>
    <row r="941937" spans="31:32" x14ac:dyDescent="0.25">
      <c r="AE941937" s="36"/>
      <c r="AF941937" s="36"/>
    </row>
    <row r="942033" spans="31:32" x14ac:dyDescent="0.25">
      <c r="AE942033" s="34"/>
      <c r="AF942033" s="34"/>
    </row>
    <row r="942041" spans="31:32" x14ac:dyDescent="0.25">
      <c r="AE942041" s="36"/>
      <c r="AF942041" s="36"/>
    </row>
    <row r="942137" spans="31:32" x14ac:dyDescent="0.25">
      <c r="AE942137" s="34"/>
      <c r="AF942137" s="34"/>
    </row>
    <row r="942145" spans="31:32" x14ac:dyDescent="0.25">
      <c r="AE942145" s="36"/>
      <c r="AF942145" s="36"/>
    </row>
    <row r="942241" spans="31:32" x14ac:dyDescent="0.25">
      <c r="AE942241" s="34"/>
      <c r="AF942241" s="34"/>
    </row>
    <row r="942249" spans="31:32" x14ac:dyDescent="0.25">
      <c r="AE942249" s="36"/>
      <c r="AF942249" s="36"/>
    </row>
    <row r="942345" spans="31:32" x14ac:dyDescent="0.25">
      <c r="AE942345" s="34"/>
      <c r="AF942345" s="34"/>
    </row>
    <row r="942353" spans="31:32" x14ac:dyDescent="0.25">
      <c r="AE942353" s="36"/>
      <c r="AF942353" s="36"/>
    </row>
    <row r="942449" spans="31:32" x14ac:dyDescent="0.25">
      <c r="AE942449" s="34"/>
      <c r="AF942449" s="34"/>
    </row>
    <row r="942457" spans="31:32" x14ac:dyDescent="0.25">
      <c r="AE942457" s="36"/>
      <c r="AF942457" s="36"/>
    </row>
    <row r="942553" spans="31:32" x14ac:dyDescent="0.25">
      <c r="AE942553" s="34"/>
      <c r="AF942553" s="34"/>
    </row>
    <row r="942561" spans="31:32" x14ac:dyDescent="0.25">
      <c r="AE942561" s="36"/>
      <c r="AF942561" s="36"/>
    </row>
    <row r="942657" spans="31:32" x14ac:dyDescent="0.25">
      <c r="AE942657" s="34"/>
      <c r="AF942657" s="34"/>
    </row>
    <row r="942665" spans="31:32" x14ac:dyDescent="0.25">
      <c r="AE942665" s="36"/>
      <c r="AF942665" s="36"/>
    </row>
    <row r="942761" spans="31:32" x14ac:dyDescent="0.25">
      <c r="AE942761" s="34"/>
      <c r="AF942761" s="34"/>
    </row>
    <row r="942769" spans="31:32" x14ac:dyDescent="0.25">
      <c r="AE942769" s="36"/>
      <c r="AF942769" s="36"/>
    </row>
    <row r="942865" spans="31:32" x14ac:dyDescent="0.25">
      <c r="AE942865" s="34"/>
      <c r="AF942865" s="34"/>
    </row>
    <row r="942873" spans="31:32" x14ac:dyDescent="0.25">
      <c r="AE942873" s="36"/>
      <c r="AF942873" s="36"/>
    </row>
    <row r="942969" spans="31:32" x14ac:dyDescent="0.25">
      <c r="AE942969" s="34"/>
      <c r="AF942969" s="34"/>
    </row>
    <row r="942977" spans="31:32" x14ac:dyDescent="0.25">
      <c r="AE942977" s="36"/>
      <c r="AF942977" s="36"/>
    </row>
    <row r="943073" spans="31:32" x14ac:dyDescent="0.25">
      <c r="AE943073" s="34"/>
      <c r="AF943073" s="34"/>
    </row>
    <row r="943081" spans="31:32" x14ac:dyDescent="0.25">
      <c r="AE943081" s="36"/>
      <c r="AF943081" s="36"/>
    </row>
    <row r="943177" spans="31:32" x14ac:dyDescent="0.25">
      <c r="AE943177" s="34"/>
      <c r="AF943177" s="34"/>
    </row>
    <row r="943185" spans="31:32" x14ac:dyDescent="0.25">
      <c r="AE943185" s="36"/>
      <c r="AF943185" s="36"/>
    </row>
    <row r="943281" spans="31:32" x14ac:dyDescent="0.25">
      <c r="AE943281" s="34"/>
      <c r="AF943281" s="34"/>
    </row>
    <row r="943289" spans="31:32" x14ac:dyDescent="0.25">
      <c r="AE943289" s="36"/>
      <c r="AF943289" s="36"/>
    </row>
    <row r="943385" spans="31:32" x14ac:dyDescent="0.25">
      <c r="AE943385" s="34"/>
      <c r="AF943385" s="34"/>
    </row>
    <row r="943393" spans="31:32" x14ac:dyDescent="0.25">
      <c r="AE943393" s="36"/>
      <c r="AF943393" s="36"/>
    </row>
    <row r="943489" spans="31:32" x14ac:dyDescent="0.25">
      <c r="AE943489" s="34"/>
      <c r="AF943489" s="34"/>
    </row>
    <row r="943497" spans="31:32" x14ac:dyDescent="0.25">
      <c r="AE943497" s="36"/>
      <c r="AF943497" s="36"/>
    </row>
    <row r="943593" spans="31:32" x14ac:dyDescent="0.25">
      <c r="AE943593" s="34"/>
      <c r="AF943593" s="34"/>
    </row>
    <row r="943601" spans="31:32" x14ac:dyDescent="0.25">
      <c r="AE943601" s="36"/>
      <c r="AF943601" s="36"/>
    </row>
    <row r="943697" spans="31:32" x14ac:dyDescent="0.25">
      <c r="AE943697" s="34"/>
      <c r="AF943697" s="34"/>
    </row>
    <row r="943705" spans="31:32" x14ac:dyDescent="0.25">
      <c r="AE943705" s="36"/>
      <c r="AF943705" s="36"/>
    </row>
    <row r="943801" spans="31:32" x14ac:dyDescent="0.25">
      <c r="AE943801" s="34"/>
      <c r="AF943801" s="34"/>
    </row>
    <row r="943809" spans="31:32" x14ac:dyDescent="0.25">
      <c r="AE943809" s="36"/>
      <c r="AF943809" s="36"/>
    </row>
    <row r="943905" spans="31:32" x14ac:dyDescent="0.25">
      <c r="AE943905" s="34"/>
      <c r="AF943905" s="34"/>
    </row>
    <row r="943913" spans="31:32" x14ac:dyDescent="0.25">
      <c r="AE943913" s="36"/>
      <c r="AF943913" s="36"/>
    </row>
    <row r="944009" spans="31:32" x14ac:dyDescent="0.25">
      <c r="AE944009" s="34"/>
      <c r="AF944009" s="34"/>
    </row>
    <row r="944017" spans="31:32" x14ac:dyDescent="0.25">
      <c r="AE944017" s="36"/>
      <c r="AF944017" s="36"/>
    </row>
    <row r="944113" spans="31:32" x14ac:dyDescent="0.25">
      <c r="AE944113" s="34"/>
      <c r="AF944113" s="34"/>
    </row>
    <row r="944121" spans="31:32" x14ac:dyDescent="0.25">
      <c r="AE944121" s="36"/>
      <c r="AF944121" s="36"/>
    </row>
    <row r="944217" spans="31:32" x14ac:dyDescent="0.25">
      <c r="AE944217" s="34"/>
      <c r="AF944217" s="34"/>
    </row>
    <row r="944225" spans="31:32" x14ac:dyDescent="0.25">
      <c r="AE944225" s="36"/>
      <c r="AF944225" s="36"/>
    </row>
    <row r="944321" spans="31:32" x14ac:dyDescent="0.25">
      <c r="AE944321" s="34"/>
      <c r="AF944321" s="34"/>
    </row>
    <row r="944329" spans="31:32" x14ac:dyDescent="0.25">
      <c r="AE944329" s="36"/>
      <c r="AF944329" s="36"/>
    </row>
    <row r="944425" spans="31:32" x14ac:dyDescent="0.25">
      <c r="AE944425" s="34"/>
      <c r="AF944425" s="34"/>
    </row>
    <row r="944433" spans="31:32" x14ac:dyDescent="0.25">
      <c r="AE944433" s="36"/>
      <c r="AF944433" s="36"/>
    </row>
    <row r="944529" spans="31:32" x14ac:dyDescent="0.25">
      <c r="AE944529" s="34"/>
      <c r="AF944529" s="34"/>
    </row>
    <row r="944537" spans="31:32" x14ac:dyDescent="0.25">
      <c r="AE944537" s="36"/>
      <c r="AF944537" s="36"/>
    </row>
    <row r="944633" spans="31:32" x14ac:dyDescent="0.25">
      <c r="AE944633" s="34"/>
      <c r="AF944633" s="34"/>
    </row>
    <row r="944641" spans="31:32" x14ac:dyDescent="0.25">
      <c r="AE944641" s="36"/>
      <c r="AF944641" s="36"/>
    </row>
    <row r="944737" spans="31:32" x14ac:dyDescent="0.25">
      <c r="AE944737" s="34"/>
      <c r="AF944737" s="34"/>
    </row>
    <row r="944745" spans="31:32" x14ac:dyDescent="0.25">
      <c r="AE944745" s="36"/>
      <c r="AF944745" s="36"/>
    </row>
    <row r="944841" spans="31:32" x14ac:dyDescent="0.25">
      <c r="AE944841" s="34"/>
      <c r="AF944841" s="34"/>
    </row>
    <row r="944849" spans="31:32" x14ac:dyDescent="0.25">
      <c r="AE944849" s="36"/>
      <c r="AF944849" s="36"/>
    </row>
    <row r="944945" spans="31:32" x14ac:dyDescent="0.25">
      <c r="AE944945" s="34"/>
      <c r="AF944945" s="34"/>
    </row>
    <row r="944953" spans="31:32" x14ac:dyDescent="0.25">
      <c r="AE944953" s="36"/>
      <c r="AF944953" s="36"/>
    </row>
    <row r="945049" spans="31:32" x14ac:dyDescent="0.25">
      <c r="AE945049" s="34"/>
      <c r="AF945049" s="34"/>
    </row>
    <row r="945057" spans="31:32" x14ac:dyDescent="0.25">
      <c r="AE945057" s="36"/>
      <c r="AF945057" s="36"/>
    </row>
    <row r="945153" spans="31:32" x14ac:dyDescent="0.25">
      <c r="AE945153" s="34"/>
      <c r="AF945153" s="34"/>
    </row>
    <row r="945161" spans="31:32" x14ac:dyDescent="0.25">
      <c r="AE945161" s="36"/>
      <c r="AF945161" s="36"/>
    </row>
    <row r="945257" spans="31:32" x14ac:dyDescent="0.25">
      <c r="AE945257" s="34"/>
      <c r="AF945257" s="34"/>
    </row>
    <row r="945265" spans="31:32" x14ac:dyDescent="0.25">
      <c r="AE945265" s="36"/>
      <c r="AF945265" s="36"/>
    </row>
    <row r="945361" spans="31:32" x14ac:dyDescent="0.25">
      <c r="AE945361" s="34"/>
      <c r="AF945361" s="34"/>
    </row>
    <row r="945369" spans="31:32" x14ac:dyDescent="0.25">
      <c r="AE945369" s="36"/>
      <c r="AF945369" s="36"/>
    </row>
    <row r="945465" spans="31:32" x14ac:dyDescent="0.25">
      <c r="AE945465" s="34"/>
      <c r="AF945465" s="34"/>
    </row>
    <row r="945473" spans="31:32" x14ac:dyDescent="0.25">
      <c r="AE945473" s="36"/>
      <c r="AF945473" s="36"/>
    </row>
    <row r="945569" spans="31:32" x14ac:dyDescent="0.25">
      <c r="AE945569" s="34"/>
      <c r="AF945569" s="34"/>
    </row>
    <row r="945577" spans="31:32" x14ac:dyDescent="0.25">
      <c r="AE945577" s="36"/>
      <c r="AF945577" s="36"/>
    </row>
    <row r="945673" spans="31:32" x14ac:dyDescent="0.25">
      <c r="AE945673" s="34"/>
      <c r="AF945673" s="34"/>
    </row>
    <row r="945681" spans="31:32" x14ac:dyDescent="0.25">
      <c r="AE945681" s="36"/>
      <c r="AF945681" s="36"/>
    </row>
    <row r="945777" spans="31:32" x14ac:dyDescent="0.25">
      <c r="AE945777" s="34"/>
      <c r="AF945777" s="34"/>
    </row>
    <row r="945785" spans="31:32" x14ac:dyDescent="0.25">
      <c r="AE945785" s="36"/>
      <c r="AF945785" s="36"/>
    </row>
    <row r="945881" spans="31:32" x14ac:dyDescent="0.25">
      <c r="AE945881" s="34"/>
      <c r="AF945881" s="34"/>
    </row>
    <row r="945889" spans="31:32" x14ac:dyDescent="0.25">
      <c r="AE945889" s="36"/>
      <c r="AF945889" s="36"/>
    </row>
    <row r="945985" spans="31:32" x14ac:dyDescent="0.25">
      <c r="AE945985" s="34"/>
      <c r="AF945985" s="34"/>
    </row>
    <row r="945993" spans="31:32" x14ac:dyDescent="0.25">
      <c r="AE945993" s="36"/>
      <c r="AF945993" s="36"/>
    </row>
    <row r="946089" spans="31:32" x14ac:dyDescent="0.25">
      <c r="AE946089" s="34"/>
      <c r="AF946089" s="34"/>
    </row>
    <row r="946097" spans="31:32" x14ac:dyDescent="0.25">
      <c r="AE946097" s="36"/>
      <c r="AF946097" s="36"/>
    </row>
    <row r="946193" spans="31:32" x14ac:dyDescent="0.25">
      <c r="AE946193" s="34"/>
      <c r="AF946193" s="34"/>
    </row>
    <row r="946201" spans="31:32" x14ac:dyDescent="0.25">
      <c r="AE946201" s="36"/>
      <c r="AF946201" s="36"/>
    </row>
    <row r="946297" spans="31:32" x14ac:dyDescent="0.25">
      <c r="AE946297" s="34"/>
      <c r="AF946297" s="34"/>
    </row>
    <row r="946305" spans="31:32" x14ac:dyDescent="0.25">
      <c r="AE946305" s="36"/>
      <c r="AF946305" s="36"/>
    </row>
    <row r="946401" spans="31:32" x14ac:dyDescent="0.25">
      <c r="AE946401" s="34"/>
      <c r="AF946401" s="34"/>
    </row>
    <row r="946409" spans="31:32" x14ac:dyDescent="0.25">
      <c r="AE946409" s="36"/>
      <c r="AF946409" s="36"/>
    </row>
    <row r="946505" spans="31:32" x14ac:dyDescent="0.25">
      <c r="AE946505" s="34"/>
      <c r="AF946505" s="34"/>
    </row>
    <row r="946513" spans="31:32" x14ac:dyDescent="0.25">
      <c r="AE946513" s="36"/>
      <c r="AF946513" s="36"/>
    </row>
    <row r="946609" spans="31:32" x14ac:dyDescent="0.25">
      <c r="AE946609" s="34"/>
      <c r="AF946609" s="34"/>
    </row>
    <row r="946617" spans="31:32" x14ac:dyDescent="0.25">
      <c r="AE946617" s="36"/>
      <c r="AF946617" s="36"/>
    </row>
    <row r="946713" spans="31:32" x14ac:dyDescent="0.25">
      <c r="AE946713" s="34"/>
      <c r="AF946713" s="34"/>
    </row>
    <row r="946721" spans="31:32" x14ac:dyDescent="0.25">
      <c r="AE946721" s="36"/>
      <c r="AF946721" s="36"/>
    </row>
    <row r="946817" spans="31:32" x14ac:dyDescent="0.25">
      <c r="AE946817" s="34"/>
      <c r="AF946817" s="34"/>
    </row>
    <row r="946825" spans="31:32" x14ac:dyDescent="0.25">
      <c r="AE946825" s="36"/>
      <c r="AF946825" s="36"/>
    </row>
    <row r="946921" spans="31:32" x14ac:dyDescent="0.25">
      <c r="AE946921" s="34"/>
      <c r="AF946921" s="34"/>
    </row>
    <row r="946929" spans="31:32" x14ac:dyDescent="0.25">
      <c r="AE946929" s="36"/>
      <c r="AF946929" s="36"/>
    </row>
    <row r="947025" spans="31:32" x14ac:dyDescent="0.25">
      <c r="AE947025" s="34"/>
      <c r="AF947025" s="34"/>
    </row>
    <row r="947033" spans="31:32" x14ac:dyDescent="0.25">
      <c r="AE947033" s="36"/>
      <c r="AF947033" s="36"/>
    </row>
    <row r="947129" spans="31:32" x14ac:dyDescent="0.25">
      <c r="AE947129" s="34"/>
      <c r="AF947129" s="34"/>
    </row>
    <row r="947137" spans="31:32" x14ac:dyDescent="0.25">
      <c r="AE947137" s="36"/>
      <c r="AF947137" s="36"/>
    </row>
    <row r="947233" spans="31:32" x14ac:dyDescent="0.25">
      <c r="AE947233" s="34"/>
      <c r="AF947233" s="34"/>
    </row>
    <row r="947241" spans="31:32" x14ac:dyDescent="0.25">
      <c r="AE947241" s="36"/>
      <c r="AF947241" s="36"/>
    </row>
    <row r="947337" spans="31:32" x14ac:dyDescent="0.25">
      <c r="AE947337" s="34"/>
      <c r="AF947337" s="34"/>
    </row>
    <row r="947345" spans="31:32" x14ac:dyDescent="0.25">
      <c r="AE947345" s="36"/>
      <c r="AF947345" s="36"/>
    </row>
    <row r="947441" spans="31:32" x14ac:dyDescent="0.25">
      <c r="AE947441" s="34"/>
      <c r="AF947441" s="34"/>
    </row>
    <row r="947449" spans="31:32" x14ac:dyDescent="0.25">
      <c r="AE947449" s="36"/>
      <c r="AF947449" s="36"/>
    </row>
    <row r="947545" spans="31:32" x14ac:dyDescent="0.25">
      <c r="AE947545" s="34"/>
      <c r="AF947545" s="34"/>
    </row>
    <row r="947553" spans="31:32" x14ac:dyDescent="0.25">
      <c r="AE947553" s="36"/>
      <c r="AF947553" s="36"/>
    </row>
    <row r="947649" spans="31:32" x14ac:dyDescent="0.25">
      <c r="AE947649" s="34"/>
      <c r="AF947649" s="34"/>
    </row>
    <row r="947657" spans="31:32" x14ac:dyDescent="0.25">
      <c r="AE947657" s="36"/>
      <c r="AF947657" s="36"/>
    </row>
    <row r="947753" spans="31:32" x14ac:dyDescent="0.25">
      <c r="AE947753" s="34"/>
      <c r="AF947753" s="34"/>
    </row>
    <row r="947761" spans="31:32" x14ac:dyDescent="0.25">
      <c r="AE947761" s="36"/>
      <c r="AF947761" s="36"/>
    </row>
    <row r="947857" spans="31:32" x14ac:dyDescent="0.25">
      <c r="AE947857" s="34"/>
      <c r="AF947857" s="34"/>
    </row>
    <row r="947865" spans="31:32" x14ac:dyDescent="0.25">
      <c r="AE947865" s="36"/>
      <c r="AF947865" s="36"/>
    </row>
    <row r="947961" spans="31:32" x14ac:dyDescent="0.25">
      <c r="AE947961" s="34"/>
      <c r="AF947961" s="34"/>
    </row>
    <row r="947969" spans="31:32" x14ac:dyDescent="0.25">
      <c r="AE947969" s="36"/>
      <c r="AF947969" s="36"/>
    </row>
    <row r="948065" spans="31:32" x14ac:dyDescent="0.25">
      <c r="AE948065" s="34"/>
      <c r="AF948065" s="34"/>
    </row>
    <row r="948073" spans="31:32" x14ac:dyDescent="0.25">
      <c r="AE948073" s="36"/>
      <c r="AF948073" s="36"/>
    </row>
    <row r="948169" spans="31:32" x14ac:dyDescent="0.25">
      <c r="AE948169" s="34"/>
      <c r="AF948169" s="34"/>
    </row>
    <row r="948177" spans="31:32" x14ac:dyDescent="0.25">
      <c r="AE948177" s="36"/>
      <c r="AF948177" s="36"/>
    </row>
    <row r="948273" spans="31:32" x14ac:dyDescent="0.25">
      <c r="AE948273" s="34"/>
      <c r="AF948273" s="34"/>
    </row>
    <row r="948281" spans="31:32" x14ac:dyDescent="0.25">
      <c r="AE948281" s="36"/>
      <c r="AF948281" s="36"/>
    </row>
    <row r="948377" spans="31:32" x14ac:dyDescent="0.25">
      <c r="AE948377" s="34"/>
      <c r="AF948377" s="34"/>
    </row>
    <row r="948385" spans="31:32" x14ac:dyDescent="0.25">
      <c r="AE948385" s="36"/>
      <c r="AF948385" s="36"/>
    </row>
    <row r="948481" spans="31:32" x14ac:dyDescent="0.25">
      <c r="AE948481" s="34"/>
      <c r="AF948481" s="34"/>
    </row>
    <row r="948489" spans="31:32" x14ac:dyDescent="0.25">
      <c r="AE948489" s="36"/>
      <c r="AF948489" s="36"/>
    </row>
    <row r="948585" spans="31:32" x14ac:dyDescent="0.25">
      <c r="AE948585" s="34"/>
      <c r="AF948585" s="34"/>
    </row>
    <row r="948593" spans="31:32" x14ac:dyDescent="0.25">
      <c r="AE948593" s="36"/>
      <c r="AF948593" s="36"/>
    </row>
    <row r="948689" spans="31:32" x14ac:dyDescent="0.25">
      <c r="AE948689" s="34"/>
      <c r="AF948689" s="34"/>
    </row>
    <row r="948697" spans="31:32" x14ac:dyDescent="0.25">
      <c r="AE948697" s="36"/>
      <c r="AF948697" s="36"/>
    </row>
    <row r="948793" spans="31:32" x14ac:dyDescent="0.25">
      <c r="AE948793" s="34"/>
      <c r="AF948793" s="34"/>
    </row>
    <row r="948801" spans="31:32" x14ac:dyDescent="0.25">
      <c r="AE948801" s="36"/>
      <c r="AF948801" s="36"/>
    </row>
    <row r="948897" spans="31:32" x14ac:dyDescent="0.25">
      <c r="AE948897" s="34"/>
      <c r="AF948897" s="34"/>
    </row>
    <row r="948905" spans="31:32" x14ac:dyDescent="0.25">
      <c r="AE948905" s="36"/>
      <c r="AF948905" s="36"/>
    </row>
    <row r="949001" spans="31:32" x14ac:dyDescent="0.25">
      <c r="AE949001" s="34"/>
      <c r="AF949001" s="34"/>
    </row>
    <row r="949009" spans="31:32" x14ac:dyDescent="0.25">
      <c r="AE949009" s="36"/>
      <c r="AF949009" s="36"/>
    </row>
    <row r="949105" spans="31:32" x14ac:dyDescent="0.25">
      <c r="AE949105" s="34"/>
      <c r="AF949105" s="34"/>
    </row>
    <row r="949113" spans="31:32" x14ac:dyDescent="0.25">
      <c r="AE949113" s="36"/>
      <c r="AF949113" s="36"/>
    </row>
    <row r="949209" spans="31:32" x14ac:dyDescent="0.25">
      <c r="AE949209" s="34"/>
      <c r="AF949209" s="34"/>
    </row>
    <row r="949217" spans="31:32" x14ac:dyDescent="0.25">
      <c r="AE949217" s="36"/>
      <c r="AF949217" s="36"/>
    </row>
    <row r="949313" spans="31:32" x14ac:dyDescent="0.25">
      <c r="AE949313" s="34"/>
      <c r="AF949313" s="34"/>
    </row>
    <row r="949321" spans="31:32" x14ac:dyDescent="0.25">
      <c r="AE949321" s="36"/>
      <c r="AF949321" s="36"/>
    </row>
    <row r="949417" spans="31:32" x14ac:dyDescent="0.25">
      <c r="AE949417" s="34"/>
      <c r="AF949417" s="34"/>
    </row>
    <row r="949425" spans="31:32" x14ac:dyDescent="0.25">
      <c r="AE949425" s="36"/>
      <c r="AF949425" s="36"/>
    </row>
    <row r="949521" spans="31:32" x14ac:dyDescent="0.25">
      <c r="AE949521" s="34"/>
      <c r="AF949521" s="34"/>
    </row>
    <row r="949529" spans="31:32" x14ac:dyDescent="0.25">
      <c r="AE949529" s="36"/>
      <c r="AF949529" s="36"/>
    </row>
    <row r="949625" spans="31:32" x14ac:dyDescent="0.25">
      <c r="AE949625" s="34"/>
      <c r="AF949625" s="34"/>
    </row>
    <row r="949633" spans="31:32" x14ac:dyDescent="0.25">
      <c r="AE949633" s="36"/>
      <c r="AF949633" s="36"/>
    </row>
    <row r="949729" spans="31:32" x14ac:dyDescent="0.25">
      <c r="AE949729" s="34"/>
      <c r="AF949729" s="34"/>
    </row>
    <row r="949737" spans="31:32" x14ac:dyDescent="0.25">
      <c r="AE949737" s="36"/>
      <c r="AF949737" s="36"/>
    </row>
    <row r="949833" spans="31:32" x14ac:dyDescent="0.25">
      <c r="AE949833" s="34"/>
      <c r="AF949833" s="34"/>
    </row>
    <row r="949841" spans="31:32" x14ac:dyDescent="0.25">
      <c r="AE949841" s="36"/>
      <c r="AF949841" s="36"/>
    </row>
    <row r="949937" spans="31:32" x14ac:dyDescent="0.25">
      <c r="AE949937" s="34"/>
      <c r="AF949937" s="34"/>
    </row>
    <row r="949945" spans="31:32" x14ac:dyDescent="0.25">
      <c r="AE949945" s="36"/>
      <c r="AF949945" s="36"/>
    </row>
    <row r="950041" spans="31:32" x14ac:dyDescent="0.25">
      <c r="AE950041" s="34"/>
      <c r="AF950041" s="34"/>
    </row>
    <row r="950049" spans="31:32" x14ac:dyDescent="0.25">
      <c r="AE950049" s="36"/>
      <c r="AF950049" s="36"/>
    </row>
    <row r="950145" spans="31:32" x14ac:dyDescent="0.25">
      <c r="AE950145" s="34"/>
      <c r="AF950145" s="34"/>
    </row>
    <row r="950153" spans="31:32" x14ac:dyDescent="0.25">
      <c r="AE950153" s="36"/>
      <c r="AF950153" s="36"/>
    </row>
    <row r="950249" spans="31:32" x14ac:dyDescent="0.25">
      <c r="AE950249" s="34"/>
      <c r="AF950249" s="34"/>
    </row>
    <row r="950257" spans="31:32" x14ac:dyDescent="0.25">
      <c r="AE950257" s="36"/>
      <c r="AF950257" s="36"/>
    </row>
    <row r="950353" spans="31:32" x14ac:dyDescent="0.25">
      <c r="AE950353" s="34"/>
      <c r="AF950353" s="34"/>
    </row>
    <row r="950361" spans="31:32" x14ac:dyDescent="0.25">
      <c r="AE950361" s="36"/>
      <c r="AF950361" s="36"/>
    </row>
    <row r="950457" spans="31:32" x14ac:dyDescent="0.25">
      <c r="AE950457" s="34"/>
      <c r="AF950457" s="34"/>
    </row>
    <row r="950465" spans="31:32" x14ac:dyDescent="0.25">
      <c r="AE950465" s="36"/>
      <c r="AF950465" s="36"/>
    </row>
    <row r="950561" spans="31:32" x14ac:dyDescent="0.25">
      <c r="AE950561" s="34"/>
      <c r="AF950561" s="34"/>
    </row>
    <row r="950569" spans="31:32" x14ac:dyDescent="0.25">
      <c r="AE950569" s="36"/>
      <c r="AF950569" s="36"/>
    </row>
    <row r="950665" spans="31:32" x14ac:dyDescent="0.25">
      <c r="AE950665" s="34"/>
      <c r="AF950665" s="34"/>
    </row>
    <row r="950673" spans="31:32" x14ac:dyDescent="0.25">
      <c r="AE950673" s="36"/>
      <c r="AF950673" s="36"/>
    </row>
    <row r="950769" spans="31:32" x14ac:dyDescent="0.25">
      <c r="AE950769" s="34"/>
      <c r="AF950769" s="34"/>
    </row>
    <row r="950777" spans="31:32" x14ac:dyDescent="0.25">
      <c r="AE950777" s="36"/>
      <c r="AF950777" s="36"/>
    </row>
    <row r="950873" spans="31:32" x14ac:dyDescent="0.25">
      <c r="AE950873" s="34"/>
      <c r="AF950873" s="34"/>
    </row>
    <row r="950881" spans="31:32" x14ac:dyDescent="0.25">
      <c r="AE950881" s="36"/>
      <c r="AF950881" s="36"/>
    </row>
    <row r="950977" spans="31:32" x14ac:dyDescent="0.25">
      <c r="AE950977" s="34"/>
      <c r="AF950977" s="34"/>
    </row>
    <row r="950985" spans="31:32" x14ac:dyDescent="0.25">
      <c r="AE950985" s="36"/>
      <c r="AF950985" s="36"/>
    </row>
    <row r="951081" spans="31:32" x14ac:dyDescent="0.25">
      <c r="AE951081" s="34"/>
      <c r="AF951081" s="34"/>
    </row>
    <row r="951089" spans="31:32" x14ac:dyDescent="0.25">
      <c r="AE951089" s="36"/>
      <c r="AF951089" s="36"/>
    </row>
    <row r="951185" spans="31:32" x14ac:dyDescent="0.25">
      <c r="AE951185" s="34"/>
      <c r="AF951185" s="34"/>
    </row>
    <row r="951193" spans="31:32" x14ac:dyDescent="0.25">
      <c r="AE951193" s="36"/>
      <c r="AF951193" s="36"/>
    </row>
    <row r="951289" spans="31:32" x14ac:dyDescent="0.25">
      <c r="AE951289" s="34"/>
      <c r="AF951289" s="34"/>
    </row>
    <row r="951297" spans="31:32" x14ac:dyDescent="0.25">
      <c r="AE951297" s="36"/>
      <c r="AF951297" s="36"/>
    </row>
    <row r="951393" spans="31:32" x14ac:dyDescent="0.25">
      <c r="AE951393" s="34"/>
      <c r="AF951393" s="34"/>
    </row>
    <row r="951401" spans="31:32" x14ac:dyDescent="0.25">
      <c r="AE951401" s="36"/>
      <c r="AF951401" s="36"/>
    </row>
    <row r="951497" spans="31:32" x14ac:dyDescent="0.25">
      <c r="AE951497" s="34"/>
      <c r="AF951497" s="34"/>
    </row>
    <row r="951505" spans="31:32" x14ac:dyDescent="0.25">
      <c r="AE951505" s="36"/>
      <c r="AF951505" s="36"/>
    </row>
    <row r="951601" spans="31:32" x14ac:dyDescent="0.25">
      <c r="AE951601" s="34"/>
      <c r="AF951601" s="34"/>
    </row>
    <row r="951609" spans="31:32" x14ac:dyDescent="0.25">
      <c r="AE951609" s="36"/>
      <c r="AF951609" s="36"/>
    </row>
    <row r="951705" spans="31:32" x14ac:dyDescent="0.25">
      <c r="AE951705" s="34"/>
      <c r="AF951705" s="34"/>
    </row>
    <row r="951713" spans="31:32" x14ac:dyDescent="0.25">
      <c r="AE951713" s="36"/>
      <c r="AF951713" s="36"/>
    </row>
    <row r="951809" spans="31:32" x14ac:dyDescent="0.25">
      <c r="AE951809" s="34"/>
      <c r="AF951809" s="34"/>
    </row>
    <row r="951817" spans="31:32" x14ac:dyDescent="0.25">
      <c r="AE951817" s="36"/>
      <c r="AF951817" s="36"/>
    </row>
    <row r="951913" spans="31:32" x14ac:dyDescent="0.25">
      <c r="AE951913" s="34"/>
      <c r="AF951913" s="34"/>
    </row>
    <row r="951921" spans="31:32" x14ac:dyDescent="0.25">
      <c r="AE951921" s="36"/>
      <c r="AF951921" s="36"/>
    </row>
    <row r="952017" spans="31:32" x14ac:dyDescent="0.25">
      <c r="AE952017" s="34"/>
      <c r="AF952017" s="34"/>
    </row>
    <row r="952025" spans="31:32" x14ac:dyDescent="0.25">
      <c r="AE952025" s="36"/>
      <c r="AF952025" s="36"/>
    </row>
    <row r="952121" spans="31:32" x14ac:dyDescent="0.25">
      <c r="AE952121" s="34"/>
      <c r="AF952121" s="34"/>
    </row>
    <row r="952129" spans="31:32" x14ac:dyDescent="0.25">
      <c r="AE952129" s="36"/>
      <c r="AF952129" s="36"/>
    </row>
    <row r="952225" spans="31:32" x14ac:dyDescent="0.25">
      <c r="AE952225" s="34"/>
      <c r="AF952225" s="34"/>
    </row>
    <row r="952233" spans="31:32" x14ac:dyDescent="0.25">
      <c r="AE952233" s="36"/>
      <c r="AF952233" s="36"/>
    </row>
    <row r="952329" spans="31:32" x14ac:dyDescent="0.25">
      <c r="AE952329" s="34"/>
      <c r="AF952329" s="34"/>
    </row>
    <row r="952337" spans="31:32" x14ac:dyDescent="0.25">
      <c r="AE952337" s="36"/>
      <c r="AF952337" s="36"/>
    </row>
    <row r="952433" spans="31:32" x14ac:dyDescent="0.25">
      <c r="AE952433" s="34"/>
      <c r="AF952433" s="34"/>
    </row>
    <row r="952441" spans="31:32" x14ac:dyDescent="0.25">
      <c r="AE952441" s="36"/>
      <c r="AF952441" s="36"/>
    </row>
    <row r="952537" spans="31:32" x14ac:dyDescent="0.25">
      <c r="AE952537" s="34"/>
      <c r="AF952537" s="34"/>
    </row>
    <row r="952545" spans="31:32" x14ac:dyDescent="0.25">
      <c r="AE952545" s="36"/>
      <c r="AF952545" s="36"/>
    </row>
    <row r="952641" spans="31:32" x14ac:dyDescent="0.25">
      <c r="AE952641" s="34"/>
      <c r="AF952641" s="34"/>
    </row>
    <row r="952649" spans="31:32" x14ac:dyDescent="0.25">
      <c r="AE952649" s="36"/>
      <c r="AF952649" s="36"/>
    </row>
    <row r="952745" spans="31:32" x14ac:dyDescent="0.25">
      <c r="AE952745" s="34"/>
      <c r="AF952745" s="34"/>
    </row>
    <row r="952753" spans="31:32" x14ac:dyDescent="0.25">
      <c r="AE952753" s="36"/>
      <c r="AF952753" s="36"/>
    </row>
    <row r="952849" spans="31:32" x14ac:dyDescent="0.25">
      <c r="AE952849" s="34"/>
      <c r="AF952849" s="34"/>
    </row>
    <row r="952857" spans="31:32" x14ac:dyDescent="0.25">
      <c r="AE952857" s="36"/>
      <c r="AF952857" s="36"/>
    </row>
    <row r="952953" spans="31:32" x14ac:dyDescent="0.25">
      <c r="AE952953" s="34"/>
      <c r="AF952953" s="34"/>
    </row>
    <row r="952961" spans="31:32" x14ac:dyDescent="0.25">
      <c r="AE952961" s="36"/>
      <c r="AF952961" s="36"/>
    </row>
    <row r="953057" spans="31:32" x14ac:dyDescent="0.25">
      <c r="AE953057" s="34"/>
      <c r="AF953057" s="34"/>
    </row>
    <row r="953065" spans="31:32" x14ac:dyDescent="0.25">
      <c r="AE953065" s="36"/>
      <c r="AF953065" s="36"/>
    </row>
    <row r="953161" spans="31:32" x14ac:dyDescent="0.25">
      <c r="AE953161" s="34"/>
      <c r="AF953161" s="34"/>
    </row>
    <row r="953169" spans="31:32" x14ac:dyDescent="0.25">
      <c r="AE953169" s="36"/>
      <c r="AF953169" s="36"/>
    </row>
    <row r="953265" spans="31:32" x14ac:dyDescent="0.25">
      <c r="AE953265" s="34"/>
      <c r="AF953265" s="34"/>
    </row>
    <row r="953273" spans="31:32" x14ac:dyDescent="0.25">
      <c r="AE953273" s="36"/>
      <c r="AF953273" s="36"/>
    </row>
    <row r="953369" spans="31:32" x14ac:dyDescent="0.25">
      <c r="AE953369" s="34"/>
      <c r="AF953369" s="34"/>
    </row>
    <row r="953377" spans="31:32" x14ac:dyDescent="0.25">
      <c r="AE953377" s="36"/>
      <c r="AF953377" s="36"/>
    </row>
    <row r="953473" spans="31:32" x14ac:dyDescent="0.25">
      <c r="AE953473" s="34"/>
      <c r="AF953473" s="34"/>
    </row>
    <row r="953481" spans="31:32" x14ac:dyDescent="0.25">
      <c r="AE953481" s="36"/>
      <c r="AF953481" s="36"/>
    </row>
    <row r="953577" spans="31:32" x14ac:dyDescent="0.25">
      <c r="AE953577" s="34"/>
      <c r="AF953577" s="34"/>
    </row>
    <row r="953585" spans="31:32" x14ac:dyDescent="0.25">
      <c r="AE953585" s="36"/>
      <c r="AF953585" s="36"/>
    </row>
    <row r="953681" spans="31:32" x14ac:dyDescent="0.25">
      <c r="AE953681" s="34"/>
      <c r="AF953681" s="34"/>
    </row>
    <row r="953689" spans="31:32" x14ac:dyDescent="0.25">
      <c r="AE953689" s="36"/>
      <c r="AF953689" s="36"/>
    </row>
    <row r="953785" spans="31:32" x14ac:dyDescent="0.25">
      <c r="AE953785" s="34"/>
      <c r="AF953785" s="34"/>
    </row>
    <row r="953793" spans="31:32" x14ac:dyDescent="0.25">
      <c r="AE953793" s="36"/>
      <c r="AF953793" s="36"/>
    </row>
    <row r="953889" spans="31:32" x14ac:dyDescent="0.25">
      <c r="AE953889" s="34"/>
      <c r="AF953889" s="34"/>
    </row>
    <row r="953897" spans="31:32" x14ac:dyDescent="0.25">
      <c r="AE953897" s="36"/>
      <c r="AF953897" s="36"/>
    </row>
    <row r="953993" spans="31:32" x14ac:dyDescent="0.25">
      <c r="AE953993" s="34"/>
      <c r="AF953993" s="34"/>
    </row>
    <row r="954001" spans="31:32" x14ac:dyDescent="0.25">
      <c r="AE954001" s="36"/>
      <c r="AF954001" s="36"/>
    </row>
    <row r="954097" spans="31:32" x14ac:dyDescent="0.25">
      <c r="AE954097" s="34"/>
      <c r="AF954097" s="34"/>
    </row>
    <row r="954105" spans="31:32" x14ac:dyDescent="0.25">
      <c r="AE954105" s="36"/>
      <c r="AF954105" s="36"/>
    </row>
    <row r="954201" spans="31:32" x14ac:dyDescent="0.25">
      <c r="AE954201" s="34"/>
      <c r="AF954201" s="34"/>
    </row>
    <row r="954209" spans="31:32" x14ac:dyDescent="0.25">
      <c r="AE954209" s="36"/>
      <c r="AF954209" s="36"/>
    </row>
    <row r="954305" spans="31:32" x14ac:dyDescent="0.25">
      <c r="AE954305" s="34"/>
      <c r="AF954305" s="34"/>
    </row>
    <row r="954313" spans="31:32" x14ac:dyDescent="0.25">
      <c r="AE954313" s="36"/>
      <c r="AF954313" s="36"/>
    </row>
    <row r="954409" spans="31:32" x14ac:dyDescent="0.25">
      <c r="AE954409" s="34"/>
      <c r="AF954409" s="34"/>
    </row>
    <row r="954417" spans="31:32" x14ac:dyDescent="0.25">
      <c r="AE954417" s="36"/>
      <c r="AF954417" s="36"/>
    </row>
    <row r="954513" spans="31:32" x14ac:dyDescent="0.25">
      <c r="AE954513" s="34"/>
      <c r="AF954513" s="34"/>
    </row>
    <row r="954521" spans="31:32" x14ac:dyDescent="0.25">
      <c r="AE954521" s="36"/>
      <c r="AF954521" s="36"/>
    </row>
    <row r="954617" spans="31:32" x14ac:dyDescent="0.25">
      <c r="AE954617" s="34"/>
      <c r="AF954617" s="34"/>
    </row>
    <row r="954625" spans="31:32" x14ac:dyDescent="0.25">
      <c r="AE954625" s="36"/>
      <c r="AF954625" s="36"/>
    </row>
    <row r="954721" spans="31:32" x14ac:dyDescent="0.25">
      <c r="AE954721" s="34"/>
      <c r="AF954721" s="34"/>
    </row>
    <row r="954729" spans="31:32" x14ac:dyDescent="0.25">
      <c r="AE954729" s="36"/>
      <c r="AF954729" s="36"/>
    </row>
    <row r="954825" spans="31:32" x14ac:dyDescent="0.25">
      <c r="AE954825" s="34"/>
      <c r="AF954825" s="34"/>
    </row>
    <row r="954833" spans="31:32" x14ac:dyDescent="0.25">
      <c r="AE954833" s="36"/>
      <c r="AF954833" s="36"/>
    </row>
    <row r="954929" spans="31:32" x14ac:dyDescent="0.25">
      <c r="AE954929" s="34"/>
      <c r="AF954929" s="34"/>
    </row>
    <row r="954937" spans="31:32" x14ac:dyDescent="0.25">
      <c r="AE954937" s="36"/>
      <c r="AF954937" s="36"/>
    </row>
    <row r="955033" spans="31:32" x14ac:dyDescent="0.25">
      <c r="AE955033" s="34"/>
      <c r="AF955033" s="34"/>
    </row>
    <row r="955041" spans="31:32" x14ac:dyDescent="0.25">
      <c r="AE955041" s="36"/>
      <c r="AF955041" s="36"/>
    </row>
    <row r="955137" spans="31:32" x14ac:dyDescent="0.25">
      <c r="AE955137" s="34"/>
      <c r="AF955137" s="34"/>
    </row>
    <row r="955145" spans="31:32" x14ac:dyDescent="0.25">
      <c r="AE955145" s="36"/>
      <c r="AF955145" s="36"/>
    </row>
    <row r="955241" spans="31:32" x14ac:dyDescent="0.25">
      <c r="AE955241" s="34"/>
      <c r="AF955241" s="34"/>
    </row>
    <row r="955249" spans="31:32" x14ac:dyDescent="0.25">
      <c r="AE955249" s="36"/>
      <c r="AF955249" s="36"/>
    </row>
    <row r="955345" spans="31:32" x14ac:dyDescent="0.25">
      <c r="AE955345" s="34"/>
      <c r="AF955345" s="34"/>
    </row>
    <row r="955353" spans="31:32" x14ac:dyDescent="0.25">
      <c r="AE955353" s="36"/>
      <c r="AF955353" s="36"/>
    </row>
    <row r="955449" spans="31:32" x14ac:dyDescent="0.25">
      <c r="AE955449" s="34"/>
      <c r="AF955449" s="34"/>
    </row>
    <row r="955457" spans="31:32" x14ac:dyDescent="0.25">
      <c r="AE955457" s="36"/>
      <c r="AF955457" s="36"/>
    </row>
    <row r="955553" spans="31:32" x14ac:dyDescent="0.25">
      <c r="AE955553" s="34"/>
      <c r="AF955553" s="34"/>
    </row>
    <row r="955561" spans="31:32" x14ac:dyDescent="0.25">
      <c r="AE955561" s="36"/>
      <c r="AF955561" s="36"/>
    </row>
    <row r="955657" spans="31:32" x14ac:dyDescent="0.25">
      <c r="AE955657" s="34"/>
      <c r="AF955657" s="34"/>
    </row>
    <row r="955665" spans="31:32" x14ac:dyDescent="0.25">
      <c r="AE955665" s="36"/>
      <c r="AF955665" s="36"/>
    </row>
    <row r="955761" spans="31:32" x14ac:dyDescent="0.25">
      <c r="AE955761" s="34"/>
      <c r="AF955761" s="34"/>
    </row>
    <row r="955769" spans="31:32" x14ac:dyDescent="0.25">
      <c r="AE955769" s="36"/>
      <c r="AF955769" s="36"/>
    </row>
    <row r="955865" spans="31:32" x14ac:dyDescent="0.25">
      <c r="AE955865" s="34"/>
      <c r="AF955865" s="34"/>
    </row>
    <row r="955873" spans="31:32" x14ac:dyDescent="0.25">
      <c r="AE955873" s="36"/>
      <c r="AF955873" s="36"/>
    </row>
    <row r="955969" spans="31:32" x14ac:dyDescent="0.25">
      <c r="AE955969" s="34"/>
      <c r="AF955969" s="34"/>
    </row>
    <row r="955977" spans="31:32" x14ac:dyDescent="0.25">
      <c r="AE955977" s="36"/>
      <c r="AF955977" s="36"/>
    </row>
    <row r="956073" spans="31:32" x14ac:dyDescent="0.25">
      <c r="AE956073" s="34"/>
      <c r="AF956073" s="34"/>
    </row>
    <row r="956081" spans="31:32" x14ac:dyDescent="0.25">
      <c r="AE956081" s="36"/>
      <c r="AF956081" s="36"/>
    </row>
    <row r="956177" spans="31:32" x14ac:dyDescent="0.25">
      <c r="AE956177" s="34"/>
      <c r="AF956177" s="34"/>
    </row>
    <row r="956185" spans="31:32" x14ac:dyDescent="0.25">
      <c r="AE956185" s="36"/>
      <c r="AF956185" s="36"/>
    </row>
    <row r="956281" spans="31:32" x14ac:dyDescent="0.25">
      <c r="AE956281" s="34"/>
      <c r="AF956281" s="34"/>
    </row>
    <row r="956289" spans="31:32" x14ac:dyDescent="0.25">
      <c r="AE956289" s="36"/>
      <c r="AF956289" s="36"/>
    </row>
    <row r="956385" spans="31:32" x14ac:dyDescent="0.25">
      <c r="AE956385" s="34"/>
      <c r="AF956385" s="34"/>
    </row>
    <row r="956393" spans="31:32" x14ac:dyDescent="0.25">
      <c r="AE956393" s="36"/>
      <c r="AF956393" s="36"/>
    </row>
    <row r="956489" spans="31:32" x14ac:dyDescent="0.25">
      <c r="AE956489" s="34"/>
      <c r="AF956489" s="34"/>
    </row>
    <row r="956497" spans="31:32" x14ac:dyDescent="0.25">
      <c r="AE956497" s="36"/>
      <c r="AF956497" s="36"/>
    </row>
    <row r="956593" spans="31:32" x14ac:dyDescent="0.25">
      <c r="AE956593" s="34"/>
      <c r="AF956593" s="34"/>
    </row>
    <row r="956601" spans="31:32" x14ac:dyDescent="0.25">
      <c r="AE956601" s="36"/>
      <c r="AF956601" s="36"/>
    </row>
    <row r="956697" spans="31:32" x14ac:dyDescent="0.25">
      <c r="AE956697" s="34"/>
      <c r="AF956697" s="34"/>
    </row>
    <row r="956705" spans="31:32" x14ac:dyDescent="0.25">
      <c r="AE956705" s="36"/>
      <c r="AF956705" s="36"/>
    </row>
    <row r="956801" spans="31:32" x14ac:dyDescent="0.25">
      <c r="AE956801" s="34"/>
      <c r="AF956801" s="34"/>
    </row>
    <row r="956809" spans="31:32" x14ac:dyDescent="0.25">
      <c r="AE956809" s="36"/>
      <c r="AF956809" s="36"/>
    </row>
    <row r="956905" spans="31:32" x14ac:dyDescent="0.25">
      <c r="AE956905" s="34"/>
      <c r="AF956905" s="34"/>
    </row>
    <row r="956913" spans="31:32" x14ac:dyDescent="0.25">
      <c r="AE956913" s="36"/>
      <c r="AF956913" s="36"/>
    </row>
    <row r="957009" spans="31:32" x14ac:dyDescent="0.25">
      <c r="AE957009" s="34"/>
      <c r="AF957009" s="34"/>
    </row>
    <row r="957017" spans="31:32" x14ac:dyDescent="0.25">
      <c r="AE957017" s="36"/>
      <c r="AF957017" s="36"/>
    </row>
    <row r="957113" spans="31:32" x14ac:dyDescent="0.25">
      <c r="AE957113" s="34"/>
      <c r="AF957113" s="34"/>
    </row>
    <row r="957121" spans="31:32" x14ac:dyDescent="0.25">
      <c r="AE957121" s="36"/>
      <c r="AF957121" s="36"/>
    </row>
    <row r="957217" spans="31:32" x14ac:dyDescent="0.25">
      <c r="AE957217" s="34"/>
      <c r="AF957217" s="34"/>
    </row>
    <row r="957225" spans="31:32" x14ac:dyDescent="0.25">
      <c r="AE957225" s="36"/>
      <c r="AF957225" s="36"/>
    </row>
    <row r="957321" spans="31:32" x14ac:dyDescent="0.25">
      <c r="AE957321" s="34"/>
      <c r="AF957321" s="34"/>
    </row>
    <row r="957329" spans="31:32" x14ac:dyDescent="0.25">
      <c r="AE957329" s="36"/>
      <c r="AF957329" s="36"/>
    </row>
    <row r="957425" spans="31:32" x14ac:dyDescent="0.25">
      <c r="AE957425" s="34"/>
      <c r="AF957425" s="34"/>
    </row>
    <row r="957433" spans="31:32" x14ac:dyDescent="0.25">
      <c r="AE957433" s="36"/>
      <c r="AF957433" s="36"/>
    </row>
    <row r="957529" spans="31:32" x14ac:dyDescent="0.25">
      <c r="AE957529" s="34"/>
      <c r="AF957529" s="34"/>
    </row>
    <row r="957537" spans="31:32" x14ac:dyDescent="0.25">
      <c r="AE957537" s="36"/>
      <c r="AF957537" s="36"/>
    </row>
    <row r="957633" spans="31:32" x14ac:dyDescent="0.25">
      <c r="AE957633" s="34"/>
      <c r="AF957633" s="34"/>
    </row>
    <row r="957641" spans="31:32" x14ac:dyDescent="0.25">
      <c r="AE957641" s="36"/>
      <c r="AF957641" s="36"/>
    </row>
    <row r="957737" spans="31:32" x14ac:dyDescent="0.25">
      <c r="AE957737" s="34"/>
      <c r="AF957737" s="34"/>
    </row>
    <row r="957745" spans="31:32" x14ac:dyDescent="0.25">
      <c r="AE957745" s="36"/>
      <c r="AF957745" s="36"/>
    </row>
    <row r="957841" spans="31:32" x14ac:dyDescent="0.25">
      <c r="AE957841" s="34"/>
      <c r="AF957841" s="34"/>
    </row>
    <row r="957849" spans="31:32" x14ac:dyDescent="0.25">
      <c r="AE957849" s="36"/>
      <c r="AF957849" s="36"/>
    </row>
    <row r="957945" spans="31:32" x14ac:dyDescent="0.25">
      <c r="AE957945" s="34"/>
      <c r="AF957945" s="34"/>
    </row>
    <row r="957953" spans="31:32" x14ac:dyDescent="0.25">
      <c r="AE957953" s="36"/>
      <c r="AF957953" s="36"/>
    </row>
    <row r="958049" spans="31:32" x14ac:dyDescent="0.25">
      <c r="AE958049" s="34"/>
      <c r="AF958049" s="34"/>
    </row>
    <row r="958057" spans="31:32" x14ac:dyDescent="0.25">
      <c r="AE958057" s="36"/>
      <c r="AF958057" s="36"/>
    </row>
    <row r="958153" spans="31:32" x14ac:dyDescent="0.25">
      <c r="AE958153" s="34"/>
      <c r="AF958153" s="34"/>
    </row>
    <row r="958161" spans="31:32" x14ac:dyDescent="0.25">
      <c r="AE958161" s="36"/>
      <c r="AF958161" s="36"/>
    </row>
    <row r="958257" spans="31:32" x14ac:dyDescent="0.25">
      <c r="AE958257" s="34"/>
      <c r="AF958257" s="34"/>
    </row>
    <row r="958265" spans="31:32" x14ac:dyDescent="0.25">
      <c r="AE958265" s="36"/>
      <c r="AF958265" s="36"/>
    </row>
    <row r="958361" spans="31:32" x14ac:dyDescent="0.25">
      <c r="AE958361" s="34"/>
      <c r="AF958361" s="34"/>
    </row>
    <row r="958369" spans="31:32" x14ac:dyDescent="0.25">
      <c r="AE958369" s="36"/>
      <c r="AF958369" s="36"/>
    </row>
    <row r="958465" spans="31:32" x14ac:dyDescent="0.25">
      <c r="AE958465" s="34"/>
      <c r="AF958465" s="34"/>
    </row>
    <row r="958473" spans="31:32" x14ac:dyDescent="0.25">
      <c r="AE958473" s="36"/>
      <c r="AF958473" s="36"/>
    </row>
    <row r="958569" spans="31:32" x14ac:dyDescent="0.25">
      <c r="AE958569" s="34"/>
      <c r="AF958569" s="34"/>
    </row>
    <row r="958577" spans="31:32" x14ac:dyDescent="0.25">
      <c r="AE958577" s="36"/>
      <c r="AF958577" s="36"/>
    </row>
    <row r="958673" spans="31:32" x14ac:dyDescent="0.25">
      <c r="AE958673" s="34"/>
      <c r="AF958673" s="34"/>
    </row>
    <row r="958681" spans="31:32" x14ac:dyDescent="0.25">
      <c r="AE958681" s="36"/>
      <c r="AF958681" s="36"/>
    </row>
    <row r="958777" spans="31:32" x14ac:dyDescent="0.25">
      <c r="AE958777" s="34"/>
      <c r="AF958777" s="34"/>
    </row>
    <row r="958785" spans="31:32" x14ac:dyDescent="0.25">
      <c r="AE958785" s="36"/>
      <c r="AF958785" s="36"/>
    </row>
    <row r="958881" spans="31:32" x14ac:dyDescent="0.25">
      <c r="AE958881" s="34"/>
      <c r="AF958881" s="34"/>
    </row>
    <row r="958889" spans="31:32" x14ac:dyDescent="0.25">
      <c r="AE958889" s="36"/>
      <c r="AF958889" s="36"/>
    </row>
    <row r="958985" spans="31:32" x14ac:dyDescent="0.25">
      <c r="AE958985" s="34"/>
      <c r="AF958985" s="34"/>
    </row>
    <row r="958993" spans="31:32" x14ac:dyDescent="0.25">
      <c r="AE958993" s="36"/>
      <c r="AF958993" s="36"/>
    </row>
    <row r="959089" spans="31:32" x14ac:dyDescent="0.25">
      <c r="AE959089" s="34"/>
      <c r="AF959089" s="34"/>
    </row>
    <row r="959097" spans="31:32" x14ac:dyDescent="0.25">
      <c r="AE959097" s="36"/>
      <c r="AF959097" s="36"/>
    </row>
    <row r="959193" spans="31:32" x14ac:dyDescent="0.25">
      <c r="AE959193" s="34"/>
      <c r="AF959193" s="34"/>
    </row>
    <row r="959201" spans="31:32" x14ac:dyDescent="0.25">
      <c r="AE959201" s="36"/>
      <c r="AF959201" s="36"/>
    </row>
    <row r="959297" spans="31:32" x14ac:dyDescent="0.25">
      <c r="AE959297" s="34"/>
      <c r="AF959297" s="34"/>
    </row>
    <row r="959305" spans="31:32" x14ac:dyDescent="0.25">
      <c r="AE959305" s="36"/>
      <c r="AF959305" s="36"/>
    </row>
    <row r="959401" spans="31:32" x14ac:dyDescent="0.25">
      <c r="AE959401" s="34"/>
      <c r="AF959401" s="34"/>
    </row>
    <row r="959409" spans="31:32" x14ac:dyDescent="0.25">
      <c r="AE959409" s="36"/>
      <c r="AF959409" s="36"/>
    </row>
    <row r="959505" spans="31:32" x14ac:dyDescent="0.25">
      <c r="AE959505" s="34"/>
      <c r="AF959505" s="34"/>
    </row>
    <row r="959513" spans="31:32" x14ac:dyDescent="0.25">
      <c r="AE959513" s="36"/>
      <c r="AF959513" s="36"/>
    </row>
    <row r="959609" spans="31:32" x14ac:dyDescent="0.25">
      <c r="AE959609" s="34"/>
      <c r="AF959609" s="34"/>
    </row>
    <row r="959617" spans="31:32" x14ac:dyDescent="0.25">
      <c r="AE959617" s="36"/>
      <c r="AF959617" s="36"/>
    </row>
    <row r="959713" spans="31:32" x14ac:dyDescent="0.25">
      <c r="AE959713" s="34"/>
      <c r="AF959713" s="34"/>
    </row>
    <row r="959721" spans="31:32" x14ac:dyDescent="0.25">
      <c r="AE959721" s="36"/>
      <c r="AF959721" s="36"/>
    </row>
    <row r="959817" spans="31:32" x14ac:dyDescent="0.25">
      <c r="AE959817" s="34"/>
      <c r="AF959817" s="34"/>
    </row>
    <row r="959825" spans="31:32" x14ac:dyDescent="0.25">
      <c r="AE959825" s="36"/>
      <c r="AF959825" s="36"/>
    </row>
    <row r="959921" spans="31:32" x14ac:dyDescent="0.25">
      <c r="AE959921" s="34"/>
      <c r="AF959921" s="34"/>
    </row>
    <row r="959929" spans="31:32" x14ac:dyDescent="0.25">
      <c r="AE959929" s="36"/>
      <c r="AF959929" s="36"/>
    </row>
    <row r="960025" spans="31:32" x14ac:dyDescent="0.25">
      <c r="AE960025" s="34"/>
      <c r="AF960025" s="34"/>
    </row>
    <row r="960033" spans="31:32" x14ac:dyDescent="0.25">
      <c r="AE960033" s="36"/>
      <c r="AF960033" s="36"/>
    </row>
    <row r="960129" spans="31:32" x14ac:dyDescent="0.25">
      <c r="AE960129" s="34"/>
      <c r="AF960129" s="34"/>
    </row>
    <row r="960137" spans="31:32" x14ac:dyDescent="0.25">
      <c r="AE960137" s="36"/>
      <c r="AF960137" s="36"/>
    </row>
    <row r="960233" spans="31:32" x14ac:dyDescent="0.25">
      <c r="AE960233" s="34"/>
      <c r="AF960233" s="34"/>
    </row>
    <row r="960241" spans="31:32" x14ac:dyDescent="0.25">
      <c r="AE960241" s="36"/>
      <c r="AF960241" s="36"/>
    </row>
    <row r="960337" spans="31:32" x14ac:dyDescent="0.25">
      <c r="AE960337" s="34"/>
      <c r="AF960337" s="34"/>
    </row>
    <row r="960345" spans="31:32" x14ac:dyDescent="0.25">
      <c r="AE960345" s="36"/>
      <c r="AF960345" s="36"/>
    </row>
    <row r="960441" spans="31:32" x14ac:dyDescent="0.25">
      <c r="AE960441" s="34"/>
      <c r="AF960441" s="34"/>
    </row>
    <row r="960449" spans="31:32" x14ac:dyDescent="0.25">
      <c r="AE960449" s="36"/>
      <c r="AF960449" s="36"/>
    </row>
    <row r="960545" spans="31:32" x14ac:dyDescent="0.25">
      <c r="AE960545" s="34"/>
      <c r="AF960545" s="34"/>
    </row>
    <row r="960553" spans="31:32" x14ac:dyDescent="0.25">
      <c r="AE960553" s="36"/>
      <c r="AF960553" s="36"/>
    </row>
    <row r="960649" spans="31:32" x14ac:dyDescent="0.25">
      <c r="AE960649" s="34"/>
      <c r="AF960649" s="34"/>
    </row>
    <row r="960657" spans="31:32" x14ac:dyDescent="0.25">
      <c r="AE960657" s="36"/>
      <c r="AF960657" s="36"/>
    </row>
    <row r="960753" spans="31:32" x14ac:dyDescent="0.25">
      <c r="AE960753" s="34"/>
      <c r="AF960753" s="34"/>
    </row>
    <row r="960761" spans="31:32" x14ac:dyDescent="0.25">
      <c r="AE960761" s="36"/>
      <c r="AF960761" s="36"/>
    </row>
    <row r="960857" spans="31:32" x14ac:dyDescent="0.25">
      <c r="AE960857" s="34"/>
      <c r="AF960857" s="34"/>
    </row>
    <row r="960865" spans="31:32" x14ac:dyDescent="0.25">
      <c r="AE960865" s="36"/>
      <c r="AF960865" s="36"/>
    </row>
    <row r="960961" spans="31:32" x14ac:dyDescent="0.25">
      <c r="AE960961" s="34"/>
      <c r="AF960961" s="34"/>
    </row>
    <row r="960969" spans="31:32" x14ac:dyDescent="0.25">
      <c r="AE960969" s="36"/>
      <c r="AF960969" s="36"/>
    </row>
    <row r="961065" spans="31:32" x14ac:dyDescent="0.25">
      <c r="AE961065" s="34"/>
      <c r="AF961065" s="34"/>
    </row>
    <row r="961073" spans="31:32" x14ac:dyDescent="0.25">
      <c r="AE961073" s="36"/>
      <c r="AF961073" s="36"/>
    </row>
    <row r="961169" spans="31:32" x14ac:dyDescent="0.25">
      <c r="AE961169" s="34"/>
      <c r="AF961169" s="34"/>
    </row>
    <row r="961177" spans="31:32" x14ac:dyDescent="0.25">
      <c r="AE961177" s="36"/>
      <c r="AF961177" s="36"/>
    </row>
    <row r="961273" spans="31:32" x14ac:dyDescent="0.25">
      <c r="AE961273" s="34"/>
      <c r="AF961273" s="34"/>
    </row>
    <row r="961281" spans="31:32" x14ac:dyDescent="0.25">
      <c r="AE961281" s="36"/>
      <c r="AF961281" s="36"/>
    </row>
    <row r="961377" spans="31:32" x14ac:dyDescent="0.25">
      <c r="AE961377" s="34"/>
      <c r="AF961377" s="34"/>
    </row>
    <row r="961385" spans="31:32" x14ac:dyDescent="0.25">
      <c r="AE961385" s="36"/>
      <c r="AF961385" s="36"/>
    </row>
    <row r="961481" spans="31:32" x14ac:dyDescent="0.25">
      <c r="AE961481" s="34"/>
      <c r="AF961481" s="34"/>
    </row>
    <row r="961489" spans="31:32" x14ac:dyDescent="0.25">
      <c r="AE961489" s="36"/>
      <c r="AF961489" s="36"/>
    </row>
    <row r="961585" spans="31:32" x14ac:dyDescent="0.25">
      <c r="AE961585" s="34"/>
      <c r="AF961585" s="34"/>
    </row>
    <row r="961593" spans="31:32" x14ac:dyDescent="0.25">
      <c r="AE961593" s="36"/>
      <c r="AF961593" s="36"/>
    </row>
    <row r="961689" spans="31:32" x14ac:dyDescent="0.25">
      <c r="AE961689" s="34"/>
      <c r="AF961689" s="34"/>
    </row>
    <row r="961697" spans="31:32" x14ac:dyDescent="0.25">
      <c r="AE961697" s="36"/>
      <c r="AF961697" s="36"/>
    </row>
    <row r="961793" spans="31:32" x14ac:dyDescent="0.25">
      <c r="AE961793" s="34"/>
      <c r="AF961793" s="34"/>
    </row>
    <row r="961801" spans="31:32" x14ac:dyDescent="0.25">
      <c r="AE961801" s="36"/>
      <c r="AF961801" s="36"/>
    </row>
    <row r="961897" spans="31:32" x14ac:dyDescent="0.25">
      <c r="AE961897" s="34"/>
      <c r="AF961897" s="34"/>
    </row>
    <row r="961905" spans="31:32" x14ac:dyDescent="0.25">
      <c r="AE961905" s="36"/>
      <c r="AF961905" s="36"/>
    </row>
    <row r="962001" spans="31:32" x14ac:dyDescent="0.25">
      <c r="AE962001" s="34"/>
      <c r="AF962001" s="34"/>
    </row>
    <row r="962009" spans="31:32" x14ac:dyDescent="0.25">
      <c r="AE962009" s="36"/>
      <c r="AF962009" s="36"/>
    </row>
    <row r="962105" spans="31:32" x14ac:dyDescent="0.25">
      <c r="AE962105" s="34"/>
      <c r="AF962105" s="34"/>
    </row>
    <row r="962113" spans="31:32" x14ac:dyDescent="0.25">
      <c r="AE962113" s="36"/>
      <c r="AF962113" s="36"/>
    </row>
    <row r="962209" spans="31:32" x14ac:dyDescent="0.25">
      <c r="AE962209" s="34"/>
      <c r="AF962209" s="34"/>
    </row>
    <row r="962217" spans="31:32" x14ac:dyDescent="0.25">
      <c r="AE962217" s="36"/>
      <c r="AF962217" s="36"/>
    </row>
    <row r="962313" spans="31:32" x14ac:dyDescent="0.25">
      <c r="AE962313" s="34"/>
      <c r="AF962313" s="34"/>
    </row>
    <row r="962321" spans="31:32" x14ac:dyDescent="0.25">
      <c r="AE962321" s="36"/>
      <c r="AF962321" s="36"/>
    </row>
    <row r="962417" spans="31:32" x14ac:dyDescent="0.25">
      <c r="AE962417" s="34"/>
      <c r="AF962417" s="34"/>
    </row>
    <row r="962425" spans="31:32" x14ac:dyDescent="0.25">
      <c r="AE962425" s="36"/>
      <c r="AF962425" s="36"/>
    </row>
    <row r="962521" spans="31:32" x14ac:dyDescent="0.25">
      <c r="AE962521" s="34"/>
      <c r="AF962521" s="34"/>
    </row>
    <row r="962529" spans="31:32" x14ac:dyDescent="0.25">
      <c r="AE962529" s="36"/>
      <c r="AF962529" s="36"/>
    </row>
    <row r="962625" spans="31:32" x14ac:dyDescent="0.25">
      <c r="AE962625" s="34"/>
      <c r="AF962625" s="34"/>
    </row>
    <row r="962633" spans="31:32" x14ac:dyDescent="0.25">
      <c r="AE962633" s="36"/>
      <c r="AF962633" s="36"/>
    </row>
    <row r="962729" spans="31:32" x14ac:dyDescent="0.25">
      <c r="AE962729" s="34"/>
      <c r="AF962729" s="34"/>
    </row>
    <row r="962737" spans="31:32" x14ac:dyDescent="0.25">
      <c r="AE962737" s="36"/>
      <c r="AF962737" s="36"/>
    </row>
    <row r="962833" spans="31:32" x14ac:dyDescent="0.25">
      <c r="AE962833" s="34"/>
      <c r="AF962833" s="34"/>
    </row>
    <row r="962841" spans="31:32" x14ac:dyDescent="0.25">
      <c r="AE962841" s="36"/>
      <c r="AF962841" s="36"/>
    </row>
    <row r="962937" spans="31:32" x14ac:dyDescent="0.25">
      <c r="AE962937" s="34"/>
      <c r="AF962937" s="34"/>
    </row>
    <row r="962945" spans="31:32" x14ac:dyDescent="0.25">
      <c r="AE962945" s="36"/>
      <c r="AF962945" s="36"/>
    </row>
    <row r="963041" spans="31:32" x14ac:dyDescent="0.25">
      <c r="AE963041" s="34"/>
      <c r="AF963041" s="34"/>
    </row>
    <row r="963049" spans="31:32" x14ac:dyDescent="0.25">
      <c r="AE963049" s="36"/>
      <c r="AF963049" s="36"/>
    </row>
    <row r="963145" spans="31:32" x14ac:dyDescent="0.25">
      <c r="AE963145" s="34"/>
      <c r="AF963145" s="34"/>
    </row>
    <row r="963153" spans="31:32" x14ac:dyDescent="0.25">
      <c r="AE963153" s="36"/>
      <c r="AF963153" s="36"/>
    </row>
    <row r="963249" spans="31:32" x14ac:dyDescent="0.25">
      <c r="AE963249" s="34"/>
      <c r="AF963249" s="34"/>
    </row>
    <row r="963257" spans="31:32" x14ac:dyDescent="0.25">
      <c r="AE963257" s="36"/>
      <c r="AF963257" s="36"/>
    </row>
    <row r="963353" spans="31:32" x14ac:dyDescent="0.25">
      <c r="AE963353" s="34"/>
      <c r="AF963353" s="34"/>
    </row>
    <row r="963361" spans="31:32" x14ac:dyDescent="0.25">
      <c r="AE963361" s="36"/>
      <c r="AF963361" s="36"/>
    </row>
    <row r="963457" spans="31:32" x14ac:dyDescent="0.25">
      <c r="AE963457" s="34"/>
      <c r="AF963457" s="34"/>
    </row>
    <row r="963465" spans="31:32" x14ac:dyDescent="0.25">
      <c r="AE963465" s="36"/>
      <c r="AF963465" s="36"/>
    </row>
    <row r="963561" spans="31:32" x14ac:dyDescent="0.25">
      <c r="AE963561" s="34"/>
      <c r="AF963561" s="34"/>
    </row>
    <row r="963569" spans="31:32" x14ac:dyDescent="0.25">
      <c r="AE963569" s="36"/>
      <c r="AF963569" s="36"/>
    </row>
    <row r="963665" spans="31:32" x14ac:dyDescent="0.25">
      <c r="AE963665" s="34"/>
      <c r="AF963665" s="34"/>
    </row>
    <row r="963673" spans="31:32" x14ac:dyDescent="0.25">
      <c r="AE963673" s="36"/>
      <c r="AF963673" s="36"/>
    </row>
    <row r="963769" spans="31:32" x14ac:dyDescent="0.25">
      <c r="AE963769" s="34"/>
      <c r="AF963769" s="34"/>
    </row>
    <row r="963777" spans="31:32" x14ac:dyDescent="0.25">
      <c r="AE963777" s="36"/>
      <c r="AF963777" s="36"/>
    </row>
    <row r="963873" spans="31:32" x14ac:dyDescent="0.25">
      <c r="AE963873" s="34"/>
      <c r="AF963873" s="34"/>
    </row>
    <row r="963881" spans="31:32" x14ac:dyDescent="0.25">
      <c r="AE963881" s="36"/>
      <c r="AF963881" s="36"/>
    </row>
    <row r="963977" spans="31:32" x14ac:dyDescent="0.25">
      <c r="AE963977" s="34"/>
      <c r="AF963977" s="34"/>
    </row>
    <row r="963985" spans="31:32" x14ac:dyDescent="0.25">
      <c r="AE963985" s="36"/>
      <c r="AF963985" s="36"/>
    </row>
    <row r="964081" spans="31:32" x14ac:dyDescent="0.25">
      <c r="AE964081" s="34"/>
      <c r="AF964081" s="34"/>
    </row>
    <row r="964089" spans="31:32" x14ac:dyDescent="0.25">
      <c r="AE964089" s="36"/>
      <c r="AF964089" s="36"/>
    </row>
    <row r="964185" spans="31:32" x14ac:dyDescent="0.25">
      <c r="AE964185" s="34"/>
      <c r="AF964185" s="34"/>
    </row>
    <row r="964193" spans="31:32" x14ac:dyDescent="0.25">
      <c r="AE964193" s="36"/>
      <c r="AF964193" s="36"/>
    </row>
    <row r="964289" spans="31:32" x14ac:dyDescent="0.25">
      <c r="AE964289" s="34"/>
      <c r="AF964289" s="34"/>
    </row>
    <row r="964297" spans="31:32" x14ac:dyDescent="0.25">
      <c r="AE964297" s="36"/>
      <c r="AF964297" s="36"/>
    </row>
    <row r="964393" spans="31:32" x14ac:dyDescent="0.25">
      <c r="AE964393" s="34"/>
      <c r="AF964393" s="34"/>
    </row>
    <row r="964401" spans="31:32" x14ac:dyDescent="0.25">
      <c r="AE964401" s="36"/>
      <c r="AF964401" s="36"/>
    </row>
    <row r="964497" spans="31:32" x14ac:dyDescent="0.25">
      <c r="AE964497" s="34"/>
      <c r="AF964497" s="34"/>
    </row>
    <row r="964505" spans="31:32" x14ac:dyDescent="0.25">
      <c r="AE964505" s="36"/>
      <c r="AF964505" s="36"/>
    </row>
    <row r="964601" spans="31:32" x14ac:dyDescent="0.25">
      <c r="AE964601" s="34"/>
      <c r="AF964601" s="34"/>
    </row>
    <row r="964609" spans="31:32" x14ac:dyDescent="0.25">
      <c r="AE964609" s="36"/>
      <c r="AF964609" s="36"/>
    </row>
    <row r="964705" spans="31:32" x14ac:dyDescent="0.25">
      <c r="AE964705" s="34"/>
      <c r="AF964705" s="34"/>
    </row>
    <row r="964713" spans="31:32" x14ac:dyDescent="0.25">
      <c r="AE964713" s="36"/>
      <c r="AF964713" s="36"/>
    </row>
    <row r="964809" spans="31:32" x14ac:dyDescent="0.25">
      <c r="AE964809" s="34"/>
      <c r="AF964809" s="34"/>
    </row>
    <row r="964817" spans="31:32" x14ac:dyDescent="0.25">
      <c r="AE964817" s="36"/>
      <c r="AF964817" s="36"/>
    </row>
    <row r="964913" spans="31:32" x14ac:dyDescent="0.25">
      <c r="AE964913" s="34"/>
      <c r="AF964913" s="34"/>
    </row>
    <row r="964921" spans="31:32" x14ac:dyDescent="0.25">
      <c r="AE964921" s="36"/>
      <c r="AF964921" s="36"/>
    </row>
    <row r="965017" spans="31:32" x14ac:dyDescent="0.25">
      <c r="AE965017" s="34"/>
      <c r="AF965017" s="34"/>
    </row>
    <row r="965025" spans="31:32" x14ac:dyDescent="0.25">
      <c r="AE965025" s="36"/>
      <c r="AF965025" s="36"/>
    </row>
    <row r="965121" spans="31:32" x14ac:dyDescent="0.25">
      <c r="AE965121" s="34"/>
      <c r="AF965121" s="34"/>
    </row>
    <row r="965129" spans="31:32" x14ac:dyDescent="0.25">
      <c r="AE965129" s="36"/>
      <c r="AF965129" s="36"/>
    </row>
    <row r="965225" spans="31:32" x14ac:dyDescent="0.25">
      <c r="AE965225" s="34"/>
      <c r="AF965225" s="34"/>
    </row>
    <row r="965233" spans="31:32" x14ac:dyDescent="0.25">
      <c r="AE965233" s="36"/>
      <c r="AF965233" s="36"/>
    </row>
    <row r="965329" spans="31:32" x14ac:dyDescent="0.25">
      <c r="AE965329" s="34"/>
      <c r="AF965329" s="34"/>
    </row>
    <row r="965337" spans="31:32" x14ac:dyDescent="0.25">
      <c r="AE965337" s="36"/>
      <c r="AF965337" s="36"/>
    </row>
    <row r="965433" spans="31:32" x14ac:dyDescent="0.25">
      <c r="AE965433" s="34"/>
      <c r="AF965433" s="34"/>
    </row>
    <row r="965441" spans="31:32" x14ac:dyDescent="0.25">
      <c r="AE965441" s="36"/>
      <c r="AF965441" s="36"/>
    </row>
    <row r="965537" spans="31:32" x14ac:dyDescent="0.25">
      <c r="AE965537" s="34"/>
      <c r="AF965537" s="34"/>
    </row>
    <row r="965545" spans="31:32" x14ac:dyDescent="0.25">
      <c r="AE965545" s="36"/>
      <c r="AF965545" s="36"/>
    </row>
    <row r="965641" spans="31:32" x14ac:dyDescent="0.25">
      <c r="AE965641" s="34"/>
      <c r="AF965641" s="34"/>
    </row>
    <row r="965649" spans="31:32" x14ac:dyDescent="0.25">
      <c r="AE965649" s="36"/>
      <c r="AF965649" s="36"/>
    </row>
    <row r="965745" spans="31:32" x14ac:dyDescent="0.25">
      <c r="AE965745" s="34"/>
      <c r="AF965745" s="34"/>
    </row>
    <row r="965753" spans="31:32" x14ac:dyDescent="0.25">
      <c r="AE965753" s="36"/>
      <c r="AF965753" s="36"/>
    </row>
    <row r="965849" spans="31:32" x14ac:dyDescent="0.25">
      <c r="AE965849" s="34"/>
      <c r="AF965849" s="34"/>
    </row>
    <row r="965857" spans="31:32" x14ac:dyDescent="0.25">
      <c r="AE965857" s="36"/>
      <c r="AF965857" s="36"/>
    </row>
    <row r="965953" spans="31:32" x14ac:dyDescent="0.25">
      <c r="AE965953" s="34"/>
      <c r="AF965953" s="34"/>
    </row>
    <row r="965961" spans="31:32" x14ac:dyDescent="0.25">
      <c r="AE965961" s="36"/>
      <c r="AF965961" s="36"/>
    </row>
    <row r="966057" spans="31:32" x14ac:dyDescent="0.25">
      <c r="AE966057" s="34"/>
      <c r="AF966057" s="34"/>
    </row>
    <row r="966065" spans="31:32" x14ac:dyDescent="0.25">
      <c r="AE966065" s="36"/>
      <c r="AF966065" s="36"/>
    </row>
    <row r="966161" spans="31:32" x14ac:dyDescent="0.25">
      <c r="AE966161" s="34"/>
      <c r="AF966161" s="34"/>
    </row>
    <row r="966169" spans="31:32" x14ac:dyDescent="0.25">
      <c r="AE966169" s="36"/>
      <c r="AF966169" s="36"/>
    </row>
    <row r="966265" spans="31:32" x14ac:dyDescent="0.25">
      <c r="AE966265" s="34"/>
      <c r="AF966265" s="34"/>
    </row>
    <row r="966273" spans="31:32" x14ac:dyDescent="0.25">
      <c r="AE966273" s="36"/>
      <c r="AF966273" s="36"/>
    </row>
    <row r="966369" spans="31:32" x14ac:dyDescent="0.25">
      <c r="AE966369" s="34"/>
      <c r="AF966369" s="34"/>
    </row>
    <row r="966377" spans="31:32" x14ac:dyDescent="0.25">
      <c r="AE966377" s="36"/>
      <c r="AF966377" s="36"/>
    </row>
    <row r="966473" spans="31:32" x14ac:dyDescent="0.25">
      <c r="AE966473" s="34"/>
      <c r="AF966473" s="34"/>
    </row>
    <row r="966481" spans="31:32" x14ac:dyDescent="0.25">
      <c r="AE966481" s="36"/>
      <c r="AF966481" s="36"/>
    </row>
    <row r="966577" spans="31:32" x14ac:dyDescent="0.25">
      <c r="AE966577" s="34"/>
      <c r="AF966577" s="34"/>
    </row>
    <row r="966585" spans="31:32" x14ac:dyDescent="0.25">
      <c r="AE966585" s="36"/>
      <c r="AF966585" s="36"/>
    </row>
    <row r="966681" spans="31:32" x14ac:dyDescent="0.25">
      <c r="AE966681" s="34"/>
      <c r="AF966681" s="34"/>
    </row>
    <row r="966689" spans="31:32" x14ac:dyDescent="0.25">
      <c r="AE966689" s="36"/>
      <c r="AF966689" s="36"/>
    </row>
    <row r="966785" spans="31:32" x14ac:dyDescent="0.25">
      <c r="AE966785" s="34"/>
      <c r="AF966785" s="34"/>
    </row>
    <row r="966793" spans="31:32" x14ac:dyDescent="0.25">
      <c r="AE966793" s="36"/>
      <c r="AF966793" s="36"/>
    </row>
    <row r="966889" spans="31:32" x14ac:dyDescent="0.25">
      <c r="AE966889" s="34"/>
      <c r="AF966889" s="34"/>
    </row>
    <row r="966897" spans="31:32" x14ac:dyDescent="0.25">
      <c r="AE966897" s="36"/>
      <c r="AF966897" s="36"/>
    </row>
    <row r="966993" spans="31:32" x14ac:dyDescent="0.25">
      <c r="AE966993" s="34"/>
      <c r="AF966993" s="34"/>
    </row>
    <row r="967001" spans="31:32" x14ac:dyDescent="0.25">
      <c r="AE967001" s="36"/>
      <c r="AF967001" s="36"/>
    </row>
    <row r="967097" spans="31:32" x14ac:dyDescent="0.25">
      <c r="AE967097" s="34"/>
      <c r="AF967097" s="34"/>
    </row>
    <row r="967105" spans="31:32" x14ac:dyDescent="0.25">
      <c r="AE967105" s="36"/>
      <c r="AF967105" s="36"/>
    </row>
    <row r="967201" spans="31:32" x14ac:dyDescent="0.25">
      <c r="AE967201" s="34"/>
      <c r="AF967201" s="34"/>
    </row>
    <row r="967209" spans="31:32" x14ac:dyDescent="0.25">
      <c r="AE967209" s="36"/>
      <c r="AF967209" s="36"/>
    </row>
    <row r="967305" spans="31:32" x14ac:dyDescent="0.25">
      <c r="AE967305" s="34"/>
      <c r="AF967305" s="34"/>
    </row>
    <row r="967313" spans="31:32" x14ac:dyDescent="0.25">
      <c r="AE967313" s="36"/>
      <c r="AF967313" s="36"/>
    </row>
    <row r="967409" spans="31:32" x14ac:dyDescent="0.25">
      <c r="AE967409" s="34"/>
      <c r="AF967409" s="34"/>
    </row>
    <row r="967417" spans="31:32" x14ac:dyDescent="0.25">
      <c r="AE967417" s="36"/>
      <c r="AF967417" s="36"/>
    </row>
    <row r="967513" spans="31:32" x14ac:dyDescent="0.25">
      <c r="AE967513" s="34"/>
      <c r="AF967513" s="34"/>
    </row>
    <row r="967521" spans="31:32" x14ac:dyDescent="0.25">
      <c r="AE967521" s="36"/>
      <c r="AF967521" s="36"/>
    </row>
    <row r="967617" spans="31:32" x14ac:dyDescent="0.25">
      <c r="AE967617" s="34"/>
      <c r="AF967617" s="34"/>
    </row>
    <row r="967625" spans="31:32" x14ac:dyDescent="0.25">
      <c r="AE967625" s="36"/>
      <c r="AF967625" s="36"/>
    </row>
    <row r="967721" spans="31:32" x14ac:dyDescent="0.25">
      <c r="AE967721" s="34"/>
      <c r="AF967721" s="34"/>
    </row>
    <row r="967729" spans="31:32" x14ac:dyDescent="0.25">
      <c r="AE967729" s="36"/>
      <c r="AF967729" s="36"/>
    </row>
    <row r="967825" spans="31:32" x14ac:dyDescent="0.25">
      <c r="AE967825" s="34"/>
      <c r="AF967825" s="34"/>
    </row>
    <row r="967833" spans="31:32" x14ac:dyDescent="0.25">
      <c r="AE967833" s="36"/>
      <c r="AF967833" s="36"/>
    </row>
    <row r="967929" spans="31:32" x14ac:dyDescent="0.25">
      <c r="AE967929" s="34"/>
      <c r="AF967929" s="34"/>
    </row>
    <row r="967937" spans="31:32" x14ac:dyDescent="0.25">
      <c r="AE967937" s="36"/>
      <c r="AF967937" s="36"/>
    </row>
    <row r="968033" spans="31:32" x14ac:dyDescent="0.25">
      <c r="AE968033" s="34"/>
      <c r="AF968033" s="34"/>
    </row>
    <row r="968041" spans="31:32" x14ac:dyDescent="0.25">
      <c r="AE968041" s="36"/>
      <c r="AF968041" s="36"/>
    </row>
    <row r="968137" spans="31:32" x14ac:dyDescent="0.25">
      <c r="AE968137" s="34"/>
      <c r="AF968137" s="34"/>
    </row>
    <row r="968145" spans="31:32" x14ac:dyDescent="0.25">
      <c r="AE968145" s="36"/>
      <c r="AF968145" s="36"/>
    </row>
    <row r="968241" spans="31:32" x14ac:dyDescent="0.25">
      <c r="AE968241" s="34"/>
      <c r="AF968241" s="34"/>
    </row>
    <row r="968249" spans="31:32" x14ac:dyDescent="0.25">
      <c r="AE968249" s="36"/>
      <c r="AF968249" s="36"/>
    </row>
    <row r="968345" spans="31:32" x14ac:dyDescent="0.25">
      <c r="AE968345" s="34"/>
      <c r="AF968345" s="34"/>
    </row>
    <row r="968353" spans="31:32" x14ac:dyDescent="0.25">
      <c r="AE968353" s="36"/>
      <c r="AF968353" s="36"/>
    </row>
    <row r="968449" spans="31:32" x14ac:dyDescent="0.25">
      <c r="AE968449" s="34"/>
      <c r="AF968449" s="34"/>
    </row>
    <row r="968457" spans="31:32" x14ac:dyDescent="0.25">
      <c r="AE968457" s="36"/>
      <c r="AF968457" s="36"/>
    </row>
    <row r="968553" spans="31:32" x14ac:dyDescent="0.25">
      <c r="AE968553" s="34"/>
      <c r="AF968553" s="34"/>
    </row>
    <row r="968561" spans="31:32" x14ac:dyDescent="0.25">
      <c r="AE968561" s="36"/>
      <c r="AF968561" s="36"/>
    </row>
    <row r="968657" spans="31:32" x14ac:dyDescent="0.25">
      <c r="AE968657" s="34"/>
      <c r="AF968657" s="34"/>
    </row>
    <row r="968665" spans="31:32" x14ac:dyDescent="0.25">
      <c r="AE968665" s="36"/>
      <c r="AF968665" s="36"/>
    </row>
    <row r="968761" spans="31:32" x14ac:dyDescent="0.25">
      <c r="AE968761" s="34"/>
      <c r="AF968761" s="34"/>
    </row>
    <row r="968769" spans="31:32" x14ac:dyDescent="0.25">
      <c r="AE968769" s="36"/>
      <c r="AF968769" s="36"/>
    </row>
    <row r="968865" spans="31:32" x14ac:dyDescent="0.25">
      <c r="AE968865" s="34"/>
      <c r="AF968865" s="34"/>
    </row>
    <row r="968873" spans="31:32" x14ac:dyDescent="0.25">
      <c r="AE968873" s="36"/>
      <c r="AF968873" s="36"/>
    </row>
    <row r="968969" spans="31:32" x14ac:dyDescent="0.25">
      <c r="AE968969" s="34"/>
      <c r="AF968969" s="34"/>
    </row>
    <row r="968977" spans="31:32" x14ac:dyDescent="0.25">
      <c r="AE968977" s="36"/>
      <c r="AF968977" s="36"/>
    </row>
    <row r="969073" spans="31:32" x14ac:dyDescent="0.25">
      <c r="AE969073" s="34"/>
      <c r="AF969073" s="34"/>
    </row>
    <row r="969081" spans="31:32" x14ac:dyDescent="0.25">
      <c r="AE969081" s="36"/>
      <c r="AF969081" s="36"/>
    </row>
    <row r="969177" spans="31:32" x14ac:dyDescent="0.25">
      <c r="AE969177" s="34"/>
      <c r="AF969177" s="34"/>
    </row>
    <row r="969185" spans="31:32" x14ac:dyDescent="0.25">
      <c r="AE969185" s="36"/>
      <c r="AF969185" s="36"/>
    </row>
    <row r="969281" spans="31:32" x14ac:dyDescent="0.25">
      <c r="AE969281" s="34"/>
      <c r="AF969281" s="34"/>
    </row>
    <row r="969289" spans="31:32" x14ac:dyDescent="0.25">
      <c r="AE969289" s="36"/>
      <c r="AF969289" s="36"/>
    </row>
    <row r="969385" spans="31:32" x14ac:dyDescent="0.25">
      <c r="AE969385" s="34"/>
      <c r="AF969385" s="34"/>
    </row>
    <row r="969393" spans="31:32" x14ac:dyDescent="0.25">
      <c r="AE969393" s="36"/>
      <c r="AF969393" s="36"/>
    </row>
    <row r="969489" spans="31:32" x14ac:dyDescent="0.25">
      <c r="AE969489" s="34"/>
      <c r="AF969489" s="34"/>
    </row>
    <row r="969497" spans="31:32" x14ac:dyDescent="0.25">
      <c r="AE969497" s="36"/>
      <c r="AF969497" s="36"/>
    </row>
    <row r="969593" spans="31:32" x14ac:dyDescent="0.25">
      <c r="AE969593" s="34"/>
      <c r="AF969593" s="34"/>
    </row>
    <row r="969601" spans="31:32" x14ac:dyDescent="0.25">
      <c r="AE969601" s="36"/>
      <c r="AF969601" s="36"/>
    </row>
    <row r="969697" spans="31:32" x14ac:dyDescent="0.25">
      <c r="AE969697" s="34"/>
      <c r="AF969697" s="34"/>
    </row>
    <row r="969705" spans="31:32" x14ac:dyDescent="0.25">
      <c r="AE969705" s="36"/>
      <c r="AF969705" s="36"/>
    </row>
    <row r="969801" spans="31:32" x14ac:dyDescent="0.25">
      <c r="AE969801" s="34"/>
      <c r="AF969801" s="34"/>
    </row>
    <row r="969809" spans="31:32" x14ac:dyDescent="0.25">
      <c r="AE969809" s="36"/>
      <c r="AF969809" s="36"/>
    </row>
    <row r="969905" spans="31:32" x14ac:dyDescent="0.25">
      <c r="AE969905" s="34"/>
      <c r="AF969905" s="34"/>
    </row>
    <row r="969913" spans="31:32" x14ac:dyDescent="0.25">
      <c r="AE969913" s="36"/>
      <c r="AF969913" s="36"/>
    </row>
    <row r="970009" spans="31:32" x14ac:dyDescent="0.25">
      <c r="AE970009" s="34"/>
      <c r="AF970009" s="34"/>
    </row>
    <row r="970017" spans="31:32" x14ac:dyDescent="0.25">
      <c r="AE970017" s="36"/>
      <c r="AF970017" s="36"/>
    </row>
    <row r="970113" spans="31:32" x14ac:dyDescent="0.25">
      <c r="AE970113" s="34"/>
      <c r="AF970113" s="34"/>
    </row>
    <row r="970121" spans="31:32" x14ac:dyDescent="0.25">
      <c r="AE970121" s="36"/>
      <c r="AF970121" s="36"/>
    </row>
    <row r="970217" spans="31:32" x14ac:dyDescent="0.25">
      <c r="AE970217" s="34"/>
      <c r="AF970217" s="34"/>
    </row>
    <row r="970225" spans="31:32" x14ac:dyDescent="0.25">
      <c r="AE970225" s="36"/>
      <c r="AF970225" s="36"/>
    </row>
    <row r="970321" spans="31:32" x14ac:dyDescent="0.25">
      <c r="AE970321" s="34"/>
      <c r="AF970321" s="34"/>
    </row>
    <row r="970329" spans="31:32" x14ac:dyDescent="0.25">
      <c r="AE970329" s="36"/>
      <c r="AF970329" s="36"/>
    </row>
    <row r="970425" spans="31:32" x14ac:dyDescent="0.25">
      <c r="AE970425" s="34"/>
      <c r="AF970425" s="34"/>
    </row>
    <row r="970433" spans="31:32" x14ac:dyDescent="0.25">
      <c r="AE970433" s="36"/>
      <c r="AF970433" s="36"/>
    </row>
    <row r="970529" spans="31:32" x14ac:dyDescent="0.25">
      <c r="AE970529" s="34"/>
      <c r="AF970529" s="34"/>
    </row>
    <row r="970537" spans="31:32" x14ac:dyDescent="0.25">
      <c r="AE970537" s="36"/>
      <c r="AF970537" s="36"/>
    </row>
    <row r="970633" spans="31:32" x14ac:dyDescent="0.25">
      <c r="AE970633" s="34"/>
      <c r="AF970633" s="34"/>
    </row>
    <row r="970641" spans="31:32" x14ac:dyDescent="0.25">
      <c r="AE970641" s="36"/>
      <c r="AF970641" s="36"/>
    </row>
    <row r="970737" spans="31:32" x14ac:dyDescent="0.25">
      <c r="AE970737" s="34"/>
      <c r="AF970737" s="34"/>
    </row>
    <row r="970745" spans="31:32" x14ac:dyDescent="0.25">
      <c r="AE970745" s="36"/>
      <c r="AF970745" s="36"/>
    </row>
    <row r="970841" spans="31:32" x14ac:dyDescent="0.25">
      <c r="AE970841" s="34"/>
      <c r="AF970841" s="34"/>
    </row>
    <row r="970849" spans="31:32" x14ac:dyDescent="0.25">
      <c r="AE970849" s="36"/>
      <c r="AF970849" s="36"/>
    </row>
    <row r="970945" spans="31:32" x14ac:dyDescent="0.25">
      <c r="AE970945" s="34"/>
      <c r="AF970945" s="34"/>
    </row>
    <row r="970953" spans="31:32" x14ac:dyDescent="0.25">
      <c r="AE970953" s="36"/>
      <c r="AF970953" s="36"/>
    </row>
    <row r="971049" spans="31:32" x14ac:dyDescent="0.25">
      <c r="AE971049" s="34"/>
      <c r="AF971049" s="34"/>
    </row>
    <row r="971057" spans="31:32" x14ac:dyDescent="0.25">
      <c r="AE971057" s="36"/>
      <c r="AF971057" s="36"/>
    </row>
    <row r="971153" spans="31:32" x14ac:dyDescent="0.25">
      <c r="AE971153" s="34"/>
      <c r="AF971153" s="34"/>
    </row>
    <row r="971161" spans="31:32" x14ac:dyDescent="0.25">
      <c r="AE971161" s="36"/>
      <c r="AF971161" s="36"/>
    </row>
    <row r="971257" spans="31:32" x14ac:dyDescent="0.25">
      <c r="AE971257" s="34"/>
      <c r="AF971257" s="34"/>
    </row>
    <row r="971265" spans="31:32" x14ac:dyDescent="0.25">
      <c r="AE971265" s="36"/>
      <c r="AF971265" s="36"/>
    </row>
    <row r="971361" spans="31:32" x14ac:dyDescent="0.25">
      <c r="AE971361" s="34"/>
      <c r="AF971361" s="34"/>
    </row>
    <row r="971369" spans="31:32" x14ac:dyDescent="0.25">
      <c r="AE971369" s="36"/>
      <c r="AF971369" s="36"/>
    </row>
    <row r="971465" spans="31:32" x14ac:dyDescent="0.25">
      <c r="AE971465" s="34"/>
      <c r="AF971465" s="34"/>
    </row>
    <row r="971473" spans="31:32" x14ac:dyDescent="0.25">
      <c r="AE971473" s="36"/>
      <c r="AF971473" s="36"/>
    </row>
    <row r="971569" spans="31:32" x14ac:dyDescent="0.25">
      <c r="AE971569" s="34"/>
      <c r="AF971569" s="34"/>
    </row>
    <row r="971577" spans="31:32" x14ac:dyDescent="0.25">
      <c r="AE971577" s="36"/>
      <c r="AF971577" s="36"/>
    </row>
    <row r="971673" spans="31:32" x14ac:dyDescent="0.25">
      <c r="AE971673" s="34"/>
      <c r="AF971673" s="34"/>
    </row>
    <row r="971681" spans="31:32" x14ac:dyDescent="0.25">
      <c r="AE971681" s="36"/>
      <c r="AF971681" s="36"/>
    </row>
    <row r="971777" spans="31:32" x14ac:dyDescent="0.25">
      <c r="AE971777" s="34"/>
      <c r="AF971777" s="34"/>
    </row>
    <row r="971785" spans="31:32" x14ac:dyDescent="0.25">
      <c r="AE971785" s="36"/>
      <c r="AF971785" s="36"/>
    </row>
    <row r="971881" spans="31:32" x14ac:dyDescent="0.25">
      <c r="AE971881" s="34"/>
      <c r="AF971881" s="34"/>
    </row>
    <row r="971889" spans="31:32" x14ac:dyDescent="0.25">
      <c r="AE971889" s="36"/>
      <c r="AF971889" s="36"/>
    </row>
    <row r="971985" spans="31:32" x14ac:dyDescent="0.25">
      <c r="AE971985" s="34"/>
      <c r="AF971985" s="34"/>
    </row>
    <row r="971993" spans="31:32" x14ac:dyDescent="0.25">
      <c r="AE971993" s="36"/>
      <c r="AF971993" s="36"/>
    </row>
    <row r="972089" spans="31:32" x14ac:dyDescent="0.25">
      <c r="AE972089" s="34"/>
      <c r="AF972089" s="34"/>
    </row>
    <row r="972097" spans="31:32" x14ac:dyDescent="0.25">
      <c r="AE972097" s="36"/>
      <c r="AF972097" s="36"/>
    </row>
    <row r="972193" spans="31:32" x14ac:dyDescent="0.25">
      <c r="AE972193" s="34"/>
      <c r="AF972193" s="34"/>
    </row>
    <row r="972201" spans="31:32" x14ac:dyDescent="0.25">
      <c r="AE972201" s="36"/>
      <c r="AF972201" s="36"/>
    </row>
    <row r="972297" spans="31:32" x14ac:dyDescent="0.25">
      <c r="AE972297" s="34"/>
      <c r="AF972297" s="34"/>
    </row>
    <row r="972305" spans="31:32" x14ac:dyDescent="0.25">
      <c r="AE972305" s="36"/>
      <c r="AF972305" s="36"/>
    </row>
    <row r="972401" spans="31:32" x14ac:dyDescent="0.25">
      <c r="AE972401" s="34"/>
      <c r="AF972401" s="34"/>
    </row>
    <row r="972409" spans="31:32" x14ac:dyDescent="0.25">
      <c r="AE972409" s="36"/>
      <c r="AF972409" s="36"/>
    </row>
    <row r="972505" spans="31:32" x14ac:dyDescent="0.25">
      <c r="AE972505" s="34"/>
      <c r="AF972505" s="34"/>
    </row>
    <row r="972513" spans="31:32" x14ac:dyDescent="0.25">
      <c r="AE972513" s="36"/>
      <c r="AF972513" s="36"/>
    </row>
    <row r="972609" spans="31:32" x14ac:dyDescent="0.25">
      <c r="AE972609" s="34"/>
      <c r="AF972609" s="34"/>
    </row>
    <row r="972617" spans="31:32" x14ac:dyDescent="0.25">
      <c r="AE972617" s="36"/>
      <c r="AF972617" s="36"/>
    </row>
    <row r="972713" spans="31:32" x14ac:dyDescent="0.25">
      <c r="AE972713" s="34"/>
      <c r="AF972713" s="34"/>
    </row>
    <row r="972721" spans="31:32" x14ac:dyDescent="0.25">
      <c r="AE972721" s="36"/>
      <c r="AF972721" s="36"/>
    </row>
    <row r="972817" spans="31:32" x14ac:dyDescent="0.25">
      <c r="AE972817" s="34"/>
      <c r="AF972817" s="34"/>
    </row>
    <row r="972825" spans="31:32" x14ac:dyDescent="0.25">
      <c r="AE972825" s="36"/>
      <c r="AF972825" s="36"/>
    </row>
    <row r="972921" spans="31:32" x14ac:dyDescent="0.25">
      <c r="AE972921" s="34"/>
      <c r="AF972921" s="34"/>
    </row>
    <row r="972929" spans="31:32" x14ac:dyDescent="0.25">
      <c r="AE972929" s="36"/>
      <c r="AF972929" s="36"/>
    </row>
    <row r="973025" spans="31:32" x14ac:dyDescent="0.25">
      <c r="AE973025" s="34"/>
      <c r="AF973025" s="34"/>
    </row>
    <row r="973033" spans="31:32" x14ac:dyDescent="0.25">
      <c r="AE973033" s="36"/>
      <c r="AF973033" s="36"/>
    </row>
    <row r="973129" spans="31:32" x14ac:dyDescent="0.25">
      <c r="AE973129" s="34"/>
      <c r="AF973129" s="34"/>
    </row>
    <row r="973137" spans="31:32" x14ac:dyDescent="0.25">
      <c r="AE973137" s="36"/>
      <c r="AF973137" s="36"/>
    </row>
    <row r="973233" spans="31:32" x14ac:dyDescent="0.25">
      <c r="AE973233" s="34"/>
      <c r="AF973233" s="34"/>
    </row>
    <row r="973241" spans="31:32" x14ac:dyDescent="0.25">
      <c r="AE973241" s="36"/>
      <c r="AF973241" s="36"/>
    </row>
    <row r="973337" spans="31:32" x14ac:dyDescent="0.25">
      <c r="AE973337" s="34"/>
      <c r="AF973337" s="34"/>
    </row>
    <row r="973345" spans="31:32" x14ac:dyDescent="0.25">
      <c r="AE973345" s="36"/>
      <c r="AF973345" s="36"/>
    </row>
    <row r="973441" spans="31:32" x14ac:dyDescent="0.25">
      <c r="AE973441" s="34"/>
      <c r="AF973441" s="34"/>
    </row>
    <row r="973449" spans="31:32" x14ac:dyDescent="0.25">
      <c r="AE973449" s="36"/>
      <c r="AF973449" s="36"/>
    </row>
    <row r="973545" spans="31:32" x14ac:dyDescent="0.25">
      <c r="AE973545" s="34"/>
      <c r="AF973545" s="34"/>
    </row>
    <row r="973553" spans="31:32" x14ac:dyDescent="0.25">
      <c r="AE973553" s="36"/>
      <c r="AF973553" s="36"/>
    </row>
    <row r="973649" spans="31:32" x14ac:dyDescent="0.25">
      <c r="AE973649" s="34"/>
      <c r="AF973649" s="34"/>
    </row>
    <row r="973657" spans="31:32" x14ac:dyDescent="0.25">
      <c r="AE973657" s="36"/>
      <c r="AF973657" s="36"/>
    </row>
    <row r="973753" spans="31:32" x14ac:dyDescent="0.25">
      <c r="AE973753" s="34"/>
      <c r="AF973753" s="34"/>
    </row>
    <row r="973761" spans="31:32" x14ac:dyDescent="0.25">
      <c r="AE973761" s="36"/>
      <c r="AF973761" s="36"/>
    </row>
    <row r="973857" spans="31:32" x14ac:dyDescent="0.25">
      <c r="AE973857" s="34"/>
      <c r="AF973857" s="34"/>
    </row>
    <row r="973865" spans="31:32" x14ac:dyDescent="0.25">
      <c r="AE973865" s="36"/>
      <c r="AF973865" s="36"/>
    </row>
    <row r="973961" spans="31:32" x14ac:dyDescent="0.25">
      <c r="AE973961" s="34"/>
      <c r="AF973961" s="34"/>
    </row>
    <row r="973969" spans="31:32" x14ac:dyDescent="0.25">
      <c r="AE973969" s="36"/>
      <c r="AF973969" s="36"/>
    </row>
    <row r="974065" spans="31:32" x14ac:dyDescent="0.25">
      <c r="AE974065" s="34"/>
      <c r="AF974065" s="34"/>
    </row>
    <row r="974073" spans="31:32" x14ac:dyDescent="0.25">
      <c r="AE974073" s="36"/>
      <c r="AF974073" s="36"/>
    </row>
    <row r="974169" spans="31:32" x14ac:dyDescent="0.25">
      <c r="AE974169" s="34"/>
      <c r="AF974169" s="34"/>
    </row>
    <row r="974177" spans="31:32" x14ac:dyDescent="0.25">
      <c r="AE974177" s="36"/>
      <c r="AF974177" s="36"/>
    </row>
    <row r="974273" spans="31:32" x14ac:dyDescent="0.25">
      <c r="AE974273" s="34"/>
      <c r="AF974273" s="34"/>
    </row>
    <row r="974281" spans="31:32" x14ac:dyDescent="0.25">
      <c r="AE974281" s="36"/>
      <c r="AF974281" s="36"/>
    </row>
    <row r="974377" spans="31:32" x14ac:dyDescent="0.25">
      <c r="AE974377" s="34"/>
      <c r="AF974377" s="34"/>
    </row>
    <row r="974385" spans="31:32" x14ac:dyDescent="0.25">
      <c r="AE974385" s="36"/>
      <c r="AF974385" s="36"/>
    </row>
    <row r="974481" spans="31:32" x14ac:dyDescent="0.25">
      <c r="AE974481" s="34"/>
      <c r="AF974481" s="34"/>
    </row>
    <row r="974489" spans="31:32" x14ac:dyDescent="0.25">
      <c r="AE974489" s="36"/>
      <c r="AF974489" s="36"/>
    </row>
    <row r="974585" spans="31:32" x14ac:dyDescent="0.25">
      <c r="AE974585" s="34"/>
      <c r="AF974585" s="34"/>
    </row>
    <row r="974593" spans="31:32" x14ac:dyDescent="0.25">
      <c r="AE974593" s="36"/>
      <c r="AF974593" s="36"/>
    </row>
    <row r="974689" spans="31:32" x14ac:dyDescent="0.25">
      <c r="AE974689" s="34"/>
      <c r="AF974689" s="34"/>
    </row>
    <row r="974697" spans="31:32" x14ac:dyDescent="0.25">
      <c r="AE974697" s="36"/>
      <c r="AF974697" s="36"/>
    </row>
    <row r="974793" spans="31:32" x14ac:dyDescent="0.25">
      <c r="AE974793" s="34"/>
      <c r="AF974793" s="34"/>
    </row>
    <row r="974801" spans="31:32" x14ac:dyDescent="0.25">
      <c r="AE974801" s="36"/>
      <c r="AF974801" s="36"/>
    </row>
    <row r="974897" spans="31:32" x14ac:dyDescent="0.25">
      <c r="AE974897" s="34"/>
      <c r="AF974897" s="34"/>
    </row>
    <row r="974905" spans="31:32" x14ac:dyDescent="0.25">
      <c r="AE974905" s="36"/>
      <c r="AF974905" s="36"/>
    </row>
    <row r="975001" spans="31:32" x14ac:dyDescent="0.25">
      <c r="AE975001" s="34"/>
      <c r="AF975001" s="34"/>
    </row>
    <row r="975009" spans="31:32" x14ac:dyDescent="0.25">
      <c r="AE975009" s="36"/>
      <c r="AF975009" s="36"/>
    </row>
    <row r="975105" spans="31:32" x14ac:dyDescent="0.25">
      <c r="AE975105" s="34"/>
      <c r="AF975105" s="34"/>
    </row>
    <row r="975113" spans="31:32" x14ac:dyDescent="0.25">
      <c r="AE975113" s="36"/>
      <c r="AF975113" s="36"/>
    </row>
    <row r="975209" spans="31:32" x14ac:dyDescent="0.25">
      <c r="AE975209" s="34"/>
      <c r="AF975209" s="34"/>
    </row>
    <row r="975217" spans="31:32" x14ac:dyDescent="0.25">
      <c r="AE975217" s="36"/>
      <c r="AF975217" s="36"/>
    </row>
    <row r="975313" spans="31:32" x14ac:dyDescent="0.25">
      <c r="AE975313" s="34"/>
      <c r="AF975313" s="34"/>
    </row>
    <row r="975321" spans="31:32" x14ac:dyDescent="0.25">
      <c r="AE975321" s="36"/>
      <c r="AF975321" s="36"/>
    </row>
    <row r="975417" spans="31:32" x14ac:dyDescent="0.25">
      <c r="AE975417" s="34"/>
      <c r="AF975417" s="34"/>
    </row>
    <row r="975425" spans="31:32" x14ac:dyDescent="0.25">
      <c r="AE975425" s="36"/>
      <c r="AF975425" s="36"/>
    </row>
    <row r="975521" spans="31:32" x14ac:dyDescent="0.25">
      <c r="AE975521" s="34"/>
      <c r="AF975521" s="34"/>
    </row>
    <row r="975529" spans="31:32" x14ac:dyDescent="0.25">
      <c r="AE975529" s="36"/>
      <c r="AF975529" s="36"/>
    </row>
    <row r="975625" spans="31:32" x14ac:dyDescent="0.25">
      <c r="AE975625" s="34"/>
      <c r="AF975625" s="34"/>
    </row>
    <row r="975633" spans="31:32" x14ac:dyDescent="0.25">
      <c r="AE975633" s="36"/>
      <c r="AF975633" s="36"/>
    </row>
    <row r="975729" spans="31:32" x14ac:dyDescent="0.25">
      <c r="AE975729" s="34"/>
      <c r="AF975729" s="34"/>
    </row>
    <row r="975737" spans="31:32" x14ac:dyDescent="0.25">
      <c r="AE975737" s="36"/>
      <c r="AF975737" s="36"/>
    </row>
    <row r="975833" spans="31:32" x14ac:dyDescent="0.25">
      <c r="AE975833" s="34"/>
      <c r="AF975833" s="34"/>
    </row>
    <row r="975841" spans="31:32" x14ac:dyDescent="0.25">
      <c r="AE975841" s="36"/>
      <c r="AF975841" s="36"/>
    </row>
    <row r="975937" spans="31:32" x14ac:dyDescent="0.25">
      <c r="AE975937" s="34"/>
      <c r="AF975937" s="34"/>
    </row>
    <row r="975945" spans="31:32" x14ac:dyDescent="0.25">
      <c r="AE975945" s="36"/>
      <c r="AF975945" s="36"/>
    </row>
    <row r="976041" spans="31:32" x14ac:dyDescent="0.25">
      <c r="AE976041" s="34"/>
      <c r="AF976041" s="34"/>
    </row>
    <row r="976049" spans="31:32" x14ac:dyDescent="0.25">
      <c r="AE976049" s="36"/>
      <c r="AF976049" s="36"/>
    </row>
    <row r="976145" spans="31:32" x14ac:dyDescent="0.25">
      <c r="AE976145" s="34"/>
      <c r="AF976145" s="34"/>
    </row>
    <row r="976153" spans="31:32" x14ac:dyDescent="0.25">
      <c r="AE976153" s="36"/>
      <c r="AF976153" s="36"/>
    </row>
    <row r="976249" spans="31:32" x14ac:dyDescent="0.25">
      <c r="AE976249" s="34"/>
      <c r="AF976249" s="34"/>
    </row>
    <row r="976257" spans="31:32" x14ac:dyDescent="0.25">
      <c r="AE976257" s="36"/>
      <c r="AF976257" s="36"/>
    </row>
    <row r="976353" spans="31:32" x14ac:dyDescent="0.25">
      <c r="AE976353" s="34"/>
      <c r="AF976353" s="34"/>
    </row>
    <row r="976361" spans="31:32" x14ac:dyDescent="0.25">
      <c r="AE976361" s="36"/>
      <c r="AF976361" s="36"/>
    </row>
    <row r="976457" spans="31:32" x14ac:dyDescent="0.25">
      <c r="AE976457" s="34"/>
      <c r="AF976457" s="34"/>
    </row>
    <row r="976465" spans="31:32" x14ac:dyDescent="0.25">
      <c r="AE976465" s="36"/>
      <c r="AF976465" s="36"/>
    </row>
    <row r="976561" spans="31:32" x14ac:dyDescent="0.25">
      <c r="AE976561" s="34"/>
      <c r="AF976561" s="34"/>
    </row>
    <row r="976569" spans="31:32" x14ac:dyDescent="0.25">
      <c r="AE976569" s="36"/>
      <c r="AF976569" s="36"/>
    </row>
    <row r="976665" spans="31:32" x14ac:dyDescent="0.25">
      <c r="AE976665" s="34"/>
      <c r="AF976665" s="34"/>
    </row>
    <row r="976673" spans="31:32" x14ac:dyDescent="0.25">
      <c r="AE976673" s="36"/>
      <c r="AF976673" s="36"/>
    </row>
    <row r="976769" spans="31:32" x14ac:dyDescent="0.25">
      <c r="AE976769" s="34"/>
      <c r="AF976769" s="34"/>
    </row>
    <row r="976777" spans="31:32" x14ac:dyDescent="0.25">
      <c r="AE976777" s="36"/>
      <c r="AF976777" s="36"/>
    </row>
    <row r="976873" spans="31:32" x14ac:dyDescent="0.25">
      <c r="AE976873" s="34"/>
      <c r="AF976873" s="34"/>
    </row>
    <row r="976881" spans="31:32" x14ac:dyDescent="0.25">
      <c r="AE976881" s="36"/>
      <c r="AF976881" s="36"/>
    </row>
    <row r="976977" spans="31:32" x14ac:dyDescent="0.25">
      <c r="AE976977" s="34"/>
      <c r="AF976977" s="34"/>
    </row>
    <row r="976985" spans="31:32" x14ac:dyDescent="0.25">
      <c r="AE976985" s="36"/>
      <c r="AF976985" s="36"/>
    </row>
    <row r="977081" spans="31:32" x14ac:dyDescent="0.25">
      <c r="AE977081" s="34"/>
      <c r="AF977081" s="34"/>
    </row>
    <row r="977089" spans="31:32" x14ac:dyDescent="0.25">
      <c r="AE977089" s="36"/>
      <c r="AF977089" s="36"/>
    </row>
    <row r="977185" spans="31:32" x14ac:dyDescent="0.25">
      <c r="AE977185" s="34"/>
      <c r="AF977185" s="34"/>
    </row>
    <row r="977193" spans="31:32" x14ac:dyDescent="0.25">
      <c r="AE977193" s="36"/>
      <c r="AF977193" s="36"/>
    </row>
    <row r="977289" spans="31:32" x14ac:dyDescent="0.25">
      <c r="AE977289" s="34"/>
      <c r="AF977289" s="34"/>
    </row>
    <row r="977297" spans="31:32" x14ac:dyDescent="0.25">
      <c r="AE977297" s="36"/>
      <c r="AF977297" s="36"/>
    </row>
    <row r="977393" spans="31:32" x14ac:dyDescent="0.25">
      <c r="AE977393" s="34"/>
      <c r="AF977393" s="34"/>
    </row>
    <row r="977401" spans="31:32" x14ac:dyDescent="0.25">
      <c r="AE977401" s="36"/>
      <c r="AF977401" s="36"/>
    </row>
    <row r="977497" spans="31:32" x14ac:dyDescent="0.25">
      <c r="AE977497" s="34"/>
      <c r="AF977497" s="34"/>
    </row>
    <row r="977505" spans="31:32" x14ac:dyDescent="0.25">
      <c r="AE977505" s="36"/>
      <c r="AF977505" s="36"/>
    </row>
    <row r="977601" spans="31:32" x14ac:dyDescent="0.25">
      <c r="AE977601" s="34"/>
      <c r="AF977601" s="34"/>
    </row>
    <row r="977609" spans="31:32" x14ac:dyDescent="0.25">
      <c r="AE977609" s="36"/>
      <c r="AF977609" s="36"/>
    </row>
    <row r="977705" spans="31:32" x14ac:dyDescent="0.25">
      <c r="AE977705" s="34"/>
      <c r="AF977705" s="34"/>
    </row>
    <row r="977713" spans="31:32" x14ac:dyDescent="0.25">
      <c r="AE977713" s="36"/>
      <c r="AF977713" s="36"/>
    </row>
    <row r="977809" spans="31:32" x14ac:dyDescent="0.25">
      <c r="AE977809" s="34"/>
      <c r="AF977809" s="34"/>
    </row>
    <row r="977817" spans="31:32" x14ac:dyDescent="0.25">
      <c r="AE977817" s="36"/>
      <c r="AF977817" s="36"/>
    </row>
    <row r="977913" spans="31:32" x14ac:dyDescent="0.25">
      <c r="AE977913" s="34"/>
      <c r="AF977913" s="34"/>
    </row>
    <row r="977921" spans="31:32" x14ac:dyDescent="0.25">
      <c r="AE977921" s="36"/>
      <c r="AF977921" s="36"/>
    </row>
    <row r="978017" spans="31:32" x14ac:dyDescent="0.25">
      <c r="AE978017" s="34"/>
      <c r="AF978017" s="34"/>
    </row>
    <row r="978025" spans="31:32" x14ac:dyDescent="0.25">
      <c r="AE978025" s="36"/>
      <c r="AF978025" s="36"/>
    </row>
    <row r="978121" spans="31:32" x14ac:dyDescent="0.25">
      <c r="AE978121" s="34"/>
      <c r="AF978121" s="34"/>
    </row>
    <row r="978129" spans="31:32" x14ac:dyDescent="0.25">
      <c r="AE978129" s="36"/>
      <c r="AF978129" s="36"/>
    </row>
    <row r="978225" spans="31:32" x14ac:dyDescent="0.25">
      <c r="AE978225" s="34"/>
      <c r="AF978225" s="34"/>
    </row>
    <row r="978233" spans="31:32" x14ac:dyDescent="0.25">
      <c r="AE978233" s="36"/>
      <c r="AF978233" s="36"/>
    </row>
    <row r="978329" spans="31:32" x14ac:dyDescent="0.25">
      <c r="AE978329" s="34"/>
      <c r="AF978329" s="34"/>
    </row>
    <row r="978337" spans="31:32" x14ac:dyDescent="0.25">
      <c r="AE978337" s="36"/>
      <c r="AF978337" s="36"/>
    </row>
    <row r="978433" spans="31:32" x14ac:dyDescent="0.25">
      <c r="AE978433" s="34"/>
      <c r="AF978433" s="34"/>
    </row>
    <row r="978441" spans="31:32" x14ac:dyDescent="0.25">
      <c r="AE978441" s="36"/>
      <c r="AF978441" s="36"/>
    </row>
    <row r="978537" spans="31:32" x14ac:dyDescent="0.25">
      <c r="AE978537" s="34"/>
      <c r="AF978537" s="34"/>
    </row>
    <row r="978545" spans="31:32" x14ac:dyDescent="0.25">
      <c r="AE978545" s="36"/>
      <c r="AF978545" s="36"/>
    </row>
    <row r="978641" spans="31:32" x14ac:dyDescent="0.25">
      <c r="AE978641" s="34"/>
      <c r="AF978641" s="34"/>
    </row>
    <row r="978649" spans="31:32" x14ac:dyDescent="0.25">
      <c r="AE978649" s="36"/>
      <c r="AF978649" s="36"/>
    </row>
    <row r="978745" spans="31:32" x14ac:dyDescent="0.25">
      <c r="AE978745" s="34"/>
      <c r="AF978745" s="34"/>
    </row>
    <row r="978753" spans="31:32" x14ac:dyDescent="0.25">
      <c r="AE978753" s="36"/>
      <c r="AF978753" s="36"/>
    </row>
    <row r="978849" spans="31:32" x14ac:dyDescent="0.25">
      <c r="AE978849" s="34"/>
      <c r="AF978849" s="34"/>
    </row>
    <row r="978857" spans="31:32" x14ac:dyDescent="0.25">
      <c r="AE978857" s="36"/>
      <c r="AF978857" s="36"/>
    </row>
    <row r="978953" spans="31:32" x14ac:dyDescent="0.25">
      <c r="AE978953" s="34"/>
      <c r="AF978953" s="34"/>
    </row>
    <row r="978961" spans="31:32" x14ac:dyDescent="0.25">
      <c r="AE978961" s="36"/>
      <c r="AF978961" s="36"/>
    </row>
    <row r="979057" spans="31:32" x14ac:dyDescent="0.25">
      <c r="AE979057" s="34"/>
      <c r="AF979057" s="34"/>
    </row>
    <row r="979065" spans="31:32" x14ac:dyDescent="0.25">
      <c r="AE979065" s="36"/>
      <c r="AF979065" s="36"/>
    </row>
    <row r="979161" spans="31:32" x14ac:dyDescent="0.25">
      <c r="AE979161" s="34"/>
      <c r="AF979161" s="34"/>
    </row>
    <row r="979169" spans="31:32" x14ac:dyDescent="0.25">
      <c r="AE979169" s="36"/>
      <c r="AF979169" s="36"/>
    </row>
    <row r="979265" spans="31:32" x14ac:dyDescent="0.25">
      <c r="AE979265" s="34"/>
      <c r="AF979265" s="34"/>
    </row>
    <row r="979273" spans="31:32" x14ac:dyDescent="0.25">
      <c r="AE979273" s="36"/>
      <c r="AF979273" s="36"/>
    </row>
    <row r="979369" spans="31:32" x14ac:dyDescent="0.25">
      <c r="AE979369" s="34"/>
      <c r="AF979369" s="34"/>
    </row>
    <row r="979377" spans="31:32" x14ac:dyDescent="0.25">
      <c r="AE979377" s="36"/>
      <c r="AF979377" s="36"/>
    </row>
    <row r="979473" spans="31:32" x14ac:dyDescent="0.25">
      <c r="AE979473" s="34"/>
      <c r="AF979473" s="34"/>
    </row>
    <row r="979481" spans="31:32" x14ac:dyDescent="0.25">
      <c r="AE979481" s="36"/>
      <c r="AF979481" s="36"/>
    </row>
    <row r="979577" spans="31:32" x14ac:dyDescent="0.25">
      <c r="AE979577" s="34"/>
      <c r="AF979577" s="34"/>
    </row>
    <row r="979585" spans="31:32" x14ac:dyDescent="0.25">
      <c r="AE979585" s="36"/>
      <c r="AF979585" s="36"/>
    </row>
    <row r="979681" spans="31:32" x14ac:dyDescent="0.25">
      <c r="AE979681" s="34"/>
      <c r="AF979681" s="34"/>
    </row>
    <row r="979689" spans="31:32" x14ac:dyDescent="0.25">
      <c r="AE979689" s="36"/>
      <c r="AF979689" s="36"/>
    </row>
    <row r="979785" spans="31:32" x14ac:dyDescent="0.25">
      <c r="AE979785" s="34"/>
      <c r="AF979785" s="34"/>
    </row>
    <row r="979793" spans="31:32" x14ac:dyDescent="0.25">
      <c r="AE979793" s="36"/>
      <c r="AF979793" s="36"/>
    </row>
    <row r="979889" spans="31:32" x14ac:dyDescent="0.25">
      <c r="AE979889" s="34"/>
      <c r="AF979889" s="34"/>
    </row>
    <row r="979897" spans="31:32" x14ac:dyDescent="0.25">
      <c r="AE979897" s="36"/>
      <c r="AF979897" s="36"/>
    </row>
    <row r="979993" spans="31:32" x14ac:dyDescent="0.25">
      <c r="AE979993" s="34"/>
      <c r="AF979993" s="34"/>
    </row>
    <row r="980001" spans="31:32" x14ac:dyDescent="0.25">
      <c r="AE980001" s="36"/>
      <c r="AF980001" s="36"/>
    </row>
    <row r="980097" spans="31:32" x14ac:dyDescent="0.25">
      <c r="AE980097" s="34"/>
      <c r="AF980097" s="34"/>
    </row>
    <row r="980105" spans="31:32" x14ac:dyDescent="0.25">
      <c r="AE980105" s="36"/>
      <c r="AF980105" s="36"/>
    </row>
    <row r="980201" spans="31:32" x14ac:dyDescent="0.25">
      <c r="AE980201" s="34"/>
      <c r="AF980201" s="34"/>
    </row>
    <row r="980209" spans="31:32" x14ac:dyDescent="0.25">
      <c r="AE980209" s="36"/>
      <c r="AF980209" s="36"/>
    </row>
    <row r="980305" spans="31:32" x14ac:dyDescent="0.25">
      <c r="AE980305" s="34"/>
      <c r="AF980305" s="34"/>
    </row>
    <row r="980313" spans="31:32" x14ac:dyDescent="0.25">
      <c r="AE980313" s="36"/>
      <c r="AF980313" s="36"/>
    </row>
    <row r="980409" spans="31:32" x14ac:dyDescent="0.25">
      <c r="AE980409" s="34"/>
      <c r="AF980409" s="34"/>
    </row>
    <row r="980417" spans="31:32" x14ac:dyDescent="0.25">
      <c r="AE980417" s="36"/>
      <c r="AF980417" s="36"/>
    </row>
    <row r="980513" spans="31:32" x14ac:dyDescent="0.25">
      <c r="AE980513" s="34"/>
      <c r="AF980513" s="34"/>
    </row>
    <row r="980521" spans="31:32" x14ac:dyDescent="0.25">
      <c r="AE980521" s="36"/>
      <c r="AF980521" s="36"/>
    </row>
    <row r="980617" spans="31:32" x14ac:dyDescent="0.25">
      <c r="AE980617" s="34"/>
      <c r="AF980617" s="34"/>
    </row>
    <row r="980625" spans="31:32" x14ac:dyDescent="0.25">
      <c r="AE980625" s="36"/>
      <c r="AF980625" s="36"/>
    </row>
    <row r="980721" spans="31:32" x14ac:dyDescent="0.25">
      <c r="AE980721" s="34"/>
      <c r="AF980721" s="34"/>
    </row>
    <row r="980729" spans="31:32" x14ac:dyDescent="0.25">
      <c r="AE980729" s="36"/>
      <c r="AF980729" s="36"/>
    </row>
    <row r="980825" spans="31:32" x14ac:dyDescent="0.25">
      <c r="AE980825" s="34"/>
      <c r="AF980825" s="34"/>
    </row>
    <row r="980833" spans="31:32" x14ac:dyDescent="0.25">
      <c r="AE980833" s="36"/>
      <c r="AF980833" s="36"/>
    </row>
    <row r="980929" spans="31:32" x14ac:dyDescent="0.25">
      <c r="AE980929" s="34"/>
      <c r="AF980929" s="34"/>
    </row>
    <row r="980937" spans="31:32" x14ac:dyDescent="0.25">
      <c r="AE980937" s="36"/>
      <c r="AF980937" s="36"/>
    </row>
    <row r="981033" spans="31:32" x14ac:dyDescent="0.25">
      <c r="AE981033" s="34"/>
      <c r="AF981033" s="34"/>
    </row>
    <row r="981041" spans="31:32" x14ac:dyDescent="0.25">
      <c r="AE981041" s="36"/>
      <c r="AF981041" s="36"/>
    </row>
    <row r="981137" spans="31:32" x14ac:dyDescent="0.25">
      <c r="AE981137" s="34"/>
      <c r="AF981137" s="34"/>
    </row>
    <row r="981145" spans="31:32" x14ac:dyDescent="0.25">
      <c r="AE981145" s="36"/>
      <c r="AF981145" s="36"/>
    </row>
    <row r="981241" spans="31:32" x14ac:dyDescent="0.25">
      <c r="AE981241" s="34"/>
      <c r="AF981241" s="34"/>
    </row>
    <row r="981249" spans="31:32" x14ac:dyDescent="0.25">
      <c r="AE981249" s="36"/>
      <c r="AF981249" s="36"/>
    </row>
    <row r="981345" spans="31:32" x14ac:dyDescent="0.25">
      <c r="AE981345" s="34"/>
      <c r="AF981345" s="34"/>
    </row>
    <row r="981353" spans="31:32" x14ac:dyDescent="0.25">
      <c r="AE981353" s="36"/>
      <c r="AF981353" s="36"/>
    </row>
    <row r="981449" spans="31:32" x14ac:dyDescent="0.25">
      <c r="AE981449" s="34"/>
      <c r="AF981449" s="34"/>
    </row>
    <row r="981457" spans="31:32" x14ac:dyDescent="0.25">
      <c r="AE981457" s="36"/>
      <c r="AF981457" s="36"/>
    </row>
    <row r="981553" spans="31:32" x14ac:dyDescent="0.25">
      <c r="AE981553" s="34"/>
      <c r="AF981553" s="34"/>
    </row>
    <row r="981561" spans="31:32" x14ac:dyDescent="0.25">
      <c r="AE981561" s="36"/>
      <c r="AF981561" s="36"/>
    </row>
    <row r="981657" spans="31:32" x14ac:dyDescent="0.25">
      <c r="AE981657" s="34"/>
      <c r="AF981657" s="34"/>
    </row>
    <row r="981665" spans="31:32" x14ac:dyDescent="0.25">
      <c r="AE981665" s="36"/>
      <c r="AF981665" s="36"/>
    </row>
    <row r="981761" spans="31:32" x14ac:dyDescent="0.25">
      <c r="AE981761" s="34"/>
      <c r="AF981761" s="34"/>
    </row>
    <row r="981769" spans="31:32" x14ac:dyDescent="0.25">
      <c r="AE981769" s="36"/>
      <c r="AF981769" s="36"/>
    </row>
    <row r="981865" spans="31:32" x14ac:dyDescent="0.25">
      <c r="AE981865" s="34"/>
      <c r="AF981865" s="34"/>
    </row>
    <row r="981873" spans="31:32" x14ac:dyDescent="0.25">
      <c r="AE981873" s="36"/>
      <c r="AF981873" s="36"/>
    </row>
    <row r="981969" spans="31:32" x14ac:dyDescent="0.25">
      <c r="AE981969" s="34"/>
      <c r="AF981969" s="34"/>
    </row>
    <row r="981977" spans="31:32" x14ac:dyDescent="0.25">
      <c r="AE981977" s="36"/>
      <c r="AF981977" s="36"/>
    </row>
    <row r="982073" spans="31:32" x14ac:dyDescent="0.25">
      <c r="AE982073" s="34"/>
      <c r="AF982073" s="34"/>
    </row>
    <row r="982081" spans="31:32" x14ac:dyDescent="0.25">
      <c r="AE982081" s="36"/>
      <c r="AF982081" s="36"/>
    </row>
    <row r="982177" spans="31:32" x14ac:dyDescent="0.25">
      <c r="AE982177" s="34"/>
      <c r="AF982177" s="34"/>
    </row>
    <row r="982185" spans="31:32" x14ac:dyDescent="0.25">
      <c r="AE982185" s="36"/>
      <c r="AF982185" s="36"/>
    </row>
    <row r="982281" spans="31:32" x14ac:dyDescent="0.25">
      <c r="AE982281" s="34"/>
      <c r="AF982281" s="34"/>
    </row>
    <row r="982289" spans="31:32" x14ac:dyDescent="0.25">
      <c r="AE982289" s="36"/>
      <c r="AF982289" s="36"/>
    </row>
    <row r="982385" spans="31:32" x14ac:dyDescent="0.25">
      <c r="AE982385" s="34"/>
      <c r="AF982385" s="34"/>
    </row>
    <row r="982393" spans="31:32" x14ac:dyDescent="0.25">
      <c r="AE982393" s="36"/>
      <c r="AF982393" s="36"/>
    </row>
    <row r="982489" spans="31:32" x14ac:dyDescent="0.25">
      <c r="AE982489" s="34"/>
      <c r="AF982489" s="34"/>
    </row>
    <row r="982497" spans="31:32" x14ac:dyDescent="0.25">
      <c r="AE982497" s="36"/>
      <c r="AF982497" s="36"/>
    </row>
    <row r="982593" spans="31:32" x14ac:dyDescent="0.25">
      <c r="AE982593" s="34"/>
      <c r="AF982593" s="34"/>
    </row>
    <row r="982601" spans="31:32" x14ac:dyDescent="0.25">
      <c r="AE982601" s="36"/>
      <c r="AF982601" s="36"/>
    </row>
    <row r="982697" spans="31:32" x14ac:dyDescent="0.25">
      <c r="AE982697" s="34"/>
      <c r="AF982697" s="34"/>
    </row>
    <row r="982705" spans="31:32" x14ac:dyDescent="0.25">
      <c r="AE982705" s="36"/>
      <c r="AF982705" s="36"/>
    </row>
    <row r="982801" spans="31:32" x14ac:dyDescent="0.25">
      <c r="AE982801" s="34"/>
      <c r="AF982801" s="34"/>
    </row>
    <row r="982809" spans="31:32" x14ac:dyDescent="0.25">
      <c r="AE982809" s="36"/>
      <c r="AF982809" s="36"/>
    </row>
    <row r="982905" spans="31:32" x14ac:dyDescent="0.25">
      <c r="AE982905" s="34"/>
      <c r="AF982905" s="34"/>
    </row>
    <row r="982913" spans="31:32" x14ac:dyDescent="0.25">
      <c r="AE982913" s="36"/>
      <c r="AF982913" s="36"/>
    </row>
    <row r="983009" spans="31:32" x14ac:dyDescent="0.25">
      <c r="AE983009" s="34"/>
      <c r="AF983009" s="34"/>
    </row>
    <row r="983017" spans="31:32" x14ac:dyDescent="0.25">
      <c r="AE983017" s="36"/>
      <c r="AF983017" s="36"/>
    </row>
    <row r="983113" spans="31:32" x14ac:dyDescent="0.25">
      <c r="AE983113" s="34"/>
      <c r="AF983113" s="34"/>
    </row>
    <row r="983121" spans="31:32" x14ac:dyDescent="0.25">
      <c r="AE983121" s="36"/>
      <c r="AF983121" s="36"/>
    </row>
    <row r="983217" spans="31:32" x14ac:dyDescent="0.25">
      <c r="AE983217" s="34"/>
      <c r="AF983217" s="34"/>
    </row>
    <row r="983225" spans="31:32" x14ac:dyDescent="0.25">
      <c r="AE983225" s="36"/>
      <c r="AF983225" s="36"/>
    </row>
    <row r="983321" spans="31:32" x14ac:dyDescent="0.25">
      <c r="AE983321" s="34"/>
      <c r="AF983321" s="34"/>
    </row>
    <row r="983329" spans="31:32" x14ac:dyDescent="0.25">
      <c r="AE983329" s="36"/>
      <c r="AF983329" s="36"/>
    </row>
    <row r="983425" spans="31:32" x14ac:dyDescent="0.25">
      <c r="AE983425" s="34"/>
      <c r="AF983425" s="34"/>
    </row>
    <row r="983433" spans="31:32" x14ac:dyDescent="0.25">
      <c r="AE983433" s="36"/>
      <c r="AF983433" s="36"/>
    </row>
    <row r="983529" spans="31:32" x14ac:dyDescent="0.25">
      <c r="AE983529" s="34"/>
      <c r="AF983529" s="34"/>
    </row>
    <row r="983537" spans="31:32" x14ac:dyDescent="0.25">
      <c r="AE983537" s="36"/>
      <c r="AF983537" s="36"/>
    </row>
    <row r="983633" spans="31:32" x14ac:dyDescent="0.25">
      <c r="AE983633" s="34"/>
      <c r="AF983633" s="34"/>
    </row>
    <row r="983641" spans="31:32" x14ac:dyDescent="0.25">
      <c r="AE983641" s="36"/>
      <c r="AF983641" s="36"/>
    </row>
    <row r="983737" spans="31:32" x14ac:dyDescent="0.25">
      <c r="AE983737" s="34"/>
      <c r="AF983737" s="34"/>
    </row>
    <row r="983745" spans="31:32" x14ac:dyDescent="0.25">
      <c r="AE983745" s="36"/>
      <c r="AF983745" s="36"/>
    </row>
    <row r="983841" spans="31:32" x14ac:dyDescent="0.25">
      <c r="AE983841" s="34"/>
      <c r="AF983841" s="34"/>
    </row>
    <row r="983849" spans="31:32" x14ac:dyDescent="0.25">
      <c r="AE983849" s="36"/>
      <c r="AF983849" s="36"/>
    </row>
    <row r="983945" spans="31:32" x14ac:dyDescent="0.25">
      <c r="AE983945" s="34"/>
      <c r="AF983945" s="34"/>
    </row>
    <row r="983953" spans="31:32" x14ac:dyDescent="0.25">
      <c r="AE983953" s="36"/>
      <c r="AF983953" s="36"/>
    </row>
    <row r="984049" spans="31:32" x14ac:dyDescent="0.25">
      <c r="AE984049" s="34"/>
      <c r="AF984049" s="34"/>
    </row>
    <row r="984057" spans="31:32" x14ac:dyDescent="0.25">
      <c r="AE984057" s="36"/>
      <c r="AF984057" s="36"/>
    </row>
    <row r="984153" spans="31:32" x14ac:dyDescent="0.25">
      <c r="AE984153" s="34"/>
      <c r="AF984153" s="34"/>
    </row>
    <row r="984161" spans="31:32" x14ac:dyDescent="0.25">
      <c r="AE984161" s="36"/>
      <c r="AF984161" s="36"/>
    </row>
    <row r="984257" spans="31:32" x14ac:dyDescent="0.25">
      <c r="AE984257" s="34"/>
      <c r="AF984257" s="34"/>
    </row>
    <row r="984265" spans="31:32" x14ac:dyDescent="0.25">
      <c r="AE984265" s="36"/>
      <c r="AF984265" s="36"/>
    </row>
    <row r="984361" spans="31:32" x14ac:dyDescent="0.25">
      <c r="AE984361" s="34"/>
      <c r="AF984361" s="34"/>
    </row>
    <row r="984369" spans="31:32" x14ac:dyDescent="0.25">
      <c r="AE984369" s="36"/>
      <c r="AF984369" s="36"/>
    </row>
    <row r="984465" spans="31:32" x14ac:dyDescent="0.25">
      <c r="AE984465" s="34"/>
      <c r="AF984465" s="34"/>
    </row>
    <row r="984473" spans="31:32" x14ac:dyDescent="0.25">
      <c r="AE984473" s="36"/>
      <c r="AF984473" s="36"/>
    </row>
    <row r="984569" spans="31:32" x14ac:dyDescent="0.25">
      <c r="AE984569" s="34"/>
      <c r="AF984569" s="34"/>
    </row>
    <row r="984577" spans="31:32" x14ac:dyDescent="0.25">
      <c r="AE984577" s="36"/>
      <c r="AF984577" s="36"/>
    </row>
    <row r="984673" spans="31:32" x14ac:dyDescent="0.25">
      <c r="AE984673" s="34"/>
      <c r="AF984673" s="34"/>
    </row>
    <row r="984681" spans="31:32" x14ac:dyDescent="0.25">
      <c r="AE984681" s="36"/>
      <c r="AF984681" s="36"/>
    </row>
    <row r="984777" spans="31:32" x14ac:dyDescent="0.25">
      <c r="AE984777" s="34"/>
      <c r="AF984777" s="34"/>
    </row>
    <row r="984785" spans="31:32" x14ac:dyDescent="0.25">
      <c r="AE984785" s="36"/>
      <c r="AF984785" s="36"/>
    </row>
    <row r="984881" spans="31:32" x14ac:dyDescent="0.25">
      <c r="AE984881" s="34"/>
      <c r="AF984881" s="34"/>
    </row>
    <row r="984889" spans="31:32" x14ac:dyDescent="0.25">
      <c r="AE984889" s="36"/>
      <c r="AF984889" s="36"/>
    </row>
    <row r="984985" spans="31:32" x14ac:dyDescent="0.25">
      <c r="AE984985" s="34"/>
      <c r="AF984985" s="34"/>
    </row>
    <row r="984993" spans="31:32" x14ac:dyDescent="0.25">
      <c r="AE984993" s="36"/>
      <c r="AF984993" s="36"/>
    </row>
    <row r="985089" spans="31:32" x14ac:dyDescent="0.25">
      <c r="AE985089" s="34"/>
      <c r="AF985089" s="34"/>
    </row>
    <row r="985097" spans="31:32" x14ac:dyDescent="0.25">
      <c r="AE985097" s="36"/>
      <c r="AF985097" s="36"/>
    </row>
    <row r="985193" spans="31:32" x14ac:dyDescent="0.25">
      <c r="AE985193" s="34"/>
      <c r="AF985193" s="34"/>
    </row>
    <row r="985201" spans="31:32" x14ac:dyDescent="0.25">
      <c r="AE985201" s="36"/>
      <c r="AF985201" s="36"/>
    </row>
    <row r="985297" spans="31:32" x14ac:dyDescent="0.25">
      <c r="AE985297" s="34"/>
      <c r="AF985297" s="34"/>
    </row>
    <row r="985305" spans="31:32" x14ac:dyDescent="0.25">
      <c r="AE985305" s="36"/>
      <c r="AF985305" s="36"/>
    </row>
    <row r="985401" spans="31:32" x14ac:dyDescent="0.25">
      <c r="AE985401" s="34"/>
      <c r="AF985401" s="34"/>
    </row>
    <row r="985409" spans="31:32" x14ac:dyDescent="0.25">
      <c r="AE985409" s="36"/>
      <c r="AF985409" s="36"/>
    </row>
    <row r="985505" spans="31:32" x14ac:dyDescent="0.25">
      <c r="AE985505" s="34"/>
      <c r="AF985505" s="34"/>
    </row>
    <row r="985513" spans="31:32" x14ac:dyDescent="0.25">
      <c r="AE985513" s="36"/>
      <c r="AF985513" s="36"/>
    </row>
    <row r="985609" spans="31:32" x14ac:dyDescent="0.25">
      <c r="AE985609" s="34"/>
      <c r="AF985609" s="34"/>
    </row>
    <row r="985617" spans="31:32" x14ac:dyDescent="0.25">
      <c r="AE985617" s="36"/>
      <c r="AF985617" s="36"/>
    </row>
    <row r="985713" spans="31:32" x14ac:dyDescent="0.25">
      <c r="AE985713" s="34"/>
      <c r="AF985713" s="34"/>
    </row>
    <row r="985721" spans="31:32" x14ac:dyDescent="0.25">
      <c r="AE985721" s="36"/>
      <c r="AF985721" s="36"/>
    </row>
    <row r="985817" spans="31:32" x14ac:dyDescent="0.25">
      <c r="AE985817" s="34"/>
      <c r="AF985817" s="34"/>
    </row>
    <row r="985825" spans="31:32" x14ac:dyDescent="0.25">
      <c r="AE985825" s="36"/>
      <c r="AF985825" s="36"/>
    </row>
    <row r="985921" spans="31:32" x14ac:dyDescent="0.25">
      <c r="AE985921" s="34"/>
      <c r="AF985921" s="34"/>
    </row>
    <row r="985929" spans="31:32" x14ac:dyDescent="0.25">
      <c r="AE985929" s="36"/>
      <c r="AF985929" s="36"/>
    </row>
    <row r="986025" spans="31:32" x14ac:dyDescent="0.25">
      <c r="AE986025" s="34"/>
      <c r="AF986025" s="34"/>
    </row>
    <row r="986033" spans="31:32" x14ac:dyDescent="0.25">
      <c r="AE986033" s="36"/>
      <c r="AF986033" s="36"/>
    </row>
    <row r="986129" spans="31:32" x14ac:dyDescent="0.25">
      <c r="AE986129" s="34"/>
      <c r="AF986129" s="34"/>
    </row>
    <row r="986137" spans="31:32" x14ac:dyDescent="0.25">
      <c r="AE986137" s="36"/>
      <c r="AF986137" s="36"/>
    </row>
    <row r="986233" spans="31:32" x14ac:dyDescent="0.25">
      <c r="AE986233" s="34"/>
      <c r="AF986233" s="34"/>
    </row>
    <row r="986241" spans="31:32" x14ac:dyDescent="0.25">
      <c r="AE986241" s="36"/>
      <c r="AF986241" s="36"/>
    </row>
    <row r="986337" spans="31:32" x14ac:dyDescent="0.25">
      <c r="AE986337" s="34"/>
      <c r="AF986337" s="34"/>
    </row>
    <row r="986345" spans="31:32" x14ac:dyDescent="0.25">
      <c r="AE986345" s="36"/>
      <c r="AF986345" s="36"/>
    </row>
    <row r="986441" spans="31:32" x14ac:dyDescent="0.25">
      <c r="AE986441" s="34"/>
      <c r="AF986441" s="34"/>
    </row>
    <row r="986449" spans="31:32" x14ac:dyDescent="0.25">
      <c r="AE986449" s="36"/>
      <c r="AF986449" s="36"/>
    </row>
    <row r="986545" spans="31:32" x14ac:dyDescent="0.25">
      <c r="AE986545" s="34"/>
      <c r="AF986545" s="34"/>
    </row>
    <row r="986553" spans="31:32" x14ac:dyDescent="0.25">
      <c r="AE986553" s="36"/>
      <c r="AF986553" s="36"/>
    </row>
    <row r="986649" spans="31:32" x14ac:dyDescent="0.25">
      <c r="AE986649" s="34"/>
      <c r="AF986649" s="34"/>
    </row>
    <row r="986657" spans="31:32" x14ac:dyDescent="0.25">
      <c r="AE986657" s="36"/>
      <c r="AF986657" s="36"/>
    </row>
    <row r="986753" spans="31:32" x14ac:dyDescent="0.25">
      <c r="AE986753" s="34"/>
      <c r="AF986753" s="34"/>
    </row>
    <row r="986761" spans="31:32" x14ac:dyDescent="0.25">
      <c r="AE986761" s="36"/>
      <c r="AF986761" s="36"/>
    </row>
    <row r="986857" spans="31:32" x14ac:dyDescent="0.25">
      <c r="AE986857" s="34"/>
      <c r="AF986857" s="34"/>
    </row>
    <row r="986865" spans="31:32" x14ac:dyDescent="0.25">
      <c r="AE986865" s="36"/>
      <c r="AF986865" s="36"/>
    </row>
    <row r="986961" spans="31:32" x14ac:dyDescent="0.25">
      <c r="AE986961" s="34"/>
      <c r="AF986961" s="34"/>
    </row>
    <row r="986969" spans="31:32" x14ac:dyDescent="0.25">
      <c r="AE986969" s="36"/>
      <c r="AF986969" s="36"/>
    </row>
    <row r="987065" spans="31:32" x14ac:dyDescent="0.25">
      <c r="AE987065" s="34"/>
      <c r="AF987065" s="34"/>
    </row>
    <row r="987073" spans="31:32" x14ac:dyDescent="0.25">
      <c r="AE987073" s="36"/>
      <c r="AF987073" s="36"/>
    </row>
    <row r="987169" spans="31:32" x14ac:dyDescent="0.25">
      <c r="AE987169" s="34"/>
      <c r="AF987169" s="34"/>
    </row>
    <row r="987177" spans="31:32" x14ac:dyDescent="0.25">
      <c r="AE987177" s="36"/>
      <c r="AF987177" s="36"/>
    </row>
    <row r="987273" spans="31:32" x14ac:dyDescent="0.25">
      <c r="AE987273" s="34"/>
      <c r="AF987273" s="34"/>
    </row>
    <row r="987281" spans="31:32" x14ac:dyDescent="0.25">
      <c r="AE987281" s="36"/>
      <c r="AF987281" s="36"/>
    </row>
    <row r="987377" spans="31:32" x14ac:dyDescent="0.25">
      <c r="AE987377" s="34"/>
      <c r="AF987377" s="34"/>
    </row>
    <row r="987385" spans="31:32" x14ac:dyDescent="0.25">
      <c r="AE987385" s="36"/>
      <c r="AF987385" s="36"/>
    </row>
    <row r="987481" spans="31:32" x14ac:dyDescent="0.25">
      <c r="AE987481" s="34"/>
      <c r="AF987481" s="34"/>
    </row>
    <row r="987489" spans="31:32" x14ac:dyDescent="0.25">
      <c r="AE987489" s="36"/>
      <c r="AF987489" s="36"/>
    </row>
    <row r="987585" spans="31:32" x14ac:dyDescent="0.25">
      <c r="AE987585" s="34"/>
      <c r="AF987585" s="34"/>
    </row>
    <row r="987593" spans="31:32" x14ac:dyDescent="0.25">
      <c r="AE987593" s="36"/>
      <c r="AF987593" s="36"/>
    </row>
    <row r="987689" spans="31:32" x14ac:dyDescent="0.25">
      <c r="AE987689" s="34"/>
      <c r="AF987689" s="34"/>
    </row>
    <row r="987697" spans="31:32" x14ac:dyDescent="0.25">
      <c r="AE987697" s="36"/>
      <c r="AF987697" s="36"/>
    </row>
    <row r="987793" spans="31:32" x14ac:dyDescent="0.25">
      <c r="AE987793" s="34"/>
      <c r="AF987793" s="34"/>
    </row>
    <row r="987801" spans="31:32" x14ac:dyDescent="0.25">
      <c r="AE987801" s="36"/>
      <c r="AF987801" s="36"/>
    </row>
    <row r="987897" spans="31:32" x14ac:dyDescent="0.25">
      <c r="AE987897" s="34"/>
      <c r="AF987897" s="34"/>
    </row>
    <row r="987905" spans="31:32" x14ac:dyDescent="0.25">
      <c r="AE987905" s="36"/>
      <c r="AF987905" s="36"/>
    </row>
    <row r="988001" spans="31:32" x14ac:dyDescent="0.25">
      <c r="AE988001" s="34"/>
      <c r="AF988001" s="34"/>
    </row>
    <row r="988009" spans="31:32" x14ac:dyDescent="0.25">
      <c r="AE988009" s="36"/>
      <c r="AF988009" s="36"/>
    </row>
    <row r="988105" spans="31:32" x14ac:dyDescent="0.25">
      <c r="AE988105" s="34"/>
      <c r="AF988105" s="34"/>
    </row>
    <row r="988113" spans="31:32" x14ac:dyDescent="0.25">
      <c r="AE988113" s="36"/>
      <c r="AF988113" s="36"/>
    </row>
    <row r="988209" spans="31:32" x14ac:dyDescent="0.25">
      <c r="AE988209" s="34"/>
      <c r="AF988209" s="34"/>
    </row>
    <row r="988217" spans="31:32" x14ac:dyDescent="0.25">
      <c r="AE988217" s="36"/>
      <c r="AF988217" s="36"/>
    </row>
    <row r="988313" spans="31:32" x14ac:dyDescent="0.25">
      <c r="AE988313" s="34"/>
      <c r="AF988313" s="34"/>
    </row>
    <row r="988321" spans="31:32" x14ac:dyDescent="0.25">
      <c r="AE988321" s="36"/>
      <c r="AF988321" s="36"/>
    </row>
    <row r="988417" spans="31:32" x14ac:dyDescent="0.25">
      <c r="AE988417" s="34"/>
      <c r="AF988417" s="34"/>
    </row>
    <row r="988425" spans="31:32" x14ac:dyDescent="0.25">
      <c r="AE988425" s="36"/>
      <c r="AF988425" s="36"/>
    </row>
    <row r="988521" spans="31:32" x14ac:dyDescent="0.25">
      <c r="AE988521" s="34"/>
      <c r="AF988521" s="34"/>
    </row>
    <row r="988529" spans="31:32" x14ac:dyDescent="0.25">
      <c r="AE988529" s="36"/>
      <c r="AF988529" s="36"/>
    </row>
    <row r="988625" spans="31:32" x14ac:dyDescent="0.25">
      <c r="AE988625" s="34"/>
      <c r="AF988625" s="34"/>
    </row>
    <row r="988633" spans="31:32" x14ac:dyDescent="0.25">
      <c r="AE988633" s="36"/>
      <c r="AF988633" s="36"/>
    </row>
    <row r="988729" spans="31:32" x14ac:dyDescent="0.25">
      <c r="AE988729" s="34"/>
      <c r="AF988729" s="34"/>
    </row>
    <row r="988737" spans="31:32" x14ac:dyDescent="0.25">
      <c r="AE988737" s="36"/>
      <c r="AF988737" s="36"/>
    </row>
    <row r="988833" spans="31:32" x14ac:dyDescent="0.25">
      <c r="AE988833" s="34"/>
      <c r="AF988833" s="34"/>
    </row>
    <row r="988841" spans="31:32" x14ac:dyDescent="0.25">
      <c r="AE988841" s="36"/>
      <c r="AF988841" s="36"/>
    </row>
    <row r="988937" spans="31:32" x14ac:dyDescent="0.25">
      <c r="AE988937" s="34"/>
      <c r="AF988937" s="34"/>
    </row>
    <row r="988945" spans="31:32" x14ac:dyDescent="0.25">
      <c r="AE988945" s="36"/>
      <c r="AF988945" s="36"/>
    </row>
    <row r="989041" spans="31:32" x14ac:dyDescent="0.25">
      <c r="AE989041" s="34"/>
      <c r="AF989041" s="34"/>
    </row>
    <row r="989049" spans="31:32" x14ac:dyDescent="0.25">
      <c r="AE989049" s="36"/>
      <c r="AF989049" s="36"/>
    </row>
    <row r="989145" spans="31:32" x14ac:dyDescent="0.25">
      <c r="AE989145" s="34"/>
      <c r="AF989145" s="34"/>
    </row>
    <row r="989153" spans="31:32" x14ac:dyDescent="0.25">
      <c r="AE989153" s="36"/>
      <c r="AF989153" s="36"/>
    </row>
    <row r="989249" spans="31:32" x14ac:dyDescent="0.25">
      <c r="AE989249" s="34"/>
      <c r="AF989249" s="34"/>
    </row>
    <row r="989257" spans="31:32" x14ac:dyDescent="0.25">
      <c r="AE989257" s="36"/>
      <c r="AF989257" s="36"/>
    </row>
    <row r="989353" spans="31:32" x14ac:dyDescent="0.25">
      <c r="AE989353" s="34"/>
      <c r="AF989353" s="34"/>
    </row>
    <row r="989361" spans="31:32" x14ac:dyDescent="0.25">
      <c r="AE989361" s="36"/>
      <c r="AF989361" s="36"/>
    </row>
    <row r="989457" spans="31:32" x14ac:dyDescent="0.25">
      <c r="AE989457" s="34"/>
      <c r="AF989457" s="34"/>
    </row>
    <row r="989465" spans="31:32" x14ac:dyDescent="0.25">
      <c r="AE989465" s="36"/>
      <c r="AF989465" s="36"/>
    </row>
    <row r="989561" spans="31:32" x14ac:dyDescent="0.25">
      <c r="AE989561" s="34"/>
      <c r="AF989561" s="34"/>
    </row>
    <row r="989569" spans="31:32" x14ac:dyDescent="0.25">
      <c r="AE989569" s="36"/>
      <c r="AF989569" s="36"/>
    </row>
    <row r="989665" spans="31:32" x14ac:dyDescent="0.25">
      <c r="AE989665" s="34"/>
      <c r="AF989665" s="34"/>
    </row>
    <row r="989673" spans="31:32" x14ac:dyDescent="0.25">
      <c r="AE989673" s="36"/>
      <c r="AF989673" s="36"/>
    </row>
    <row r="989769" spans="31:32" x14ac:dyDescent="0.25">
      <c r="AE989769" s="34"/>
      <c r="AF989769" s="34"/>
    </row>
    <row r="989777" spans="31:32" x14ac:dyDescent="0.25">
      <c r="AE989777" s="36"/>
      <c r="AF989777" s="36"/>
    </row>
    <row r="989873" spans="31:32" x14ac:dyDescent="0.25">
      <c r="AE989873" s="34"/>
      <c r="AF989873" s="34"/>
    </row>
    <row r="989881" spans="31:32" x14ac:dyDescent="0.25">
      <c r="AE989881" s="36"/>
      <c r="AF989881" s="36"/>
    </row>
    <row r="989977" spans="31:32" x14ac:dyDescent="0.25">
      <c r="AE989977" s="34"/>
      <c r="AF989977" s="34"/>
    </row>
    <row r="989985" spans="31:32" x14ac:dyDescent="0.25">
      <c r="AE989985" s="36"/>
      <c r="AF989985" s="36"/>
    </row>
    <row r="990081" spans="31:32" x14ac:dyDescent="0.25">
      <c r="AE990081" s="34"/>
      <c r="AF990081" s="34"/>
    </row>
    <row r="990089" spans="31:32" x14ac:dyDescent="0.25">
      <c r="AE990089" s="36"/>
      <c r="AF990089" s="36"/>
    </row>
    <row r="990185" spans="31:32" x14ac:dyDescent="0.25">
      <c r="AE990185" s="34"/>
      <c r="AF990185" s="34"/>
    </row>
    <row r="990193" spans="31:32" x14ac:dyDescent="0.25">
      <c r="AE990193" s="36"/>
      <c r="AF990193" s="36"/>
    </row>
    <row r="990289" spans="31:32" x14ac:dyDescent="0.25">
      <c r="AE990289" s="34"/>
      <c r="AF990289" s="34"/>
    </row>
    <row r="990297" spans="31:32" x14ac:dyDescent="0.25">
      <c r="AE990297" s="36"/>
      <c r="AF990297" s="36"/>
    </row>
    <row r="990393" spans="31:32" x14ac:dyDescent="0.25">
      <c r="AE990393" s="34"/>
      <c r="AF990393" s="34"/>
    </row>
    <row r="990401" spans="31:32" x14ac:dyDescent="0.25">
      <c r="AE990401" s="36"/>
      <c r="AF990401" s="36"/>
    </row>
    <row r="990497" spans="31:32" x14ac:dyDescent="0.25">
      <c r="AE990497" s="34"/>
      <c r="AF990497" s="34"/>
    </row>
    <row r="990505" spans="31:32" x14ac:dyDescent="0.25">
      <c r="AE990505" s="36"/>
      <c r="AF990505" s="36"/>
    </row>
    <row r="990601" spans="31:32" x14ac:dyDescent="0.25">
      <c r="AE990601" s="34"/>
      <c r="AF990601" s="34"/>
    </row>
    <row r="990609" spans="31:32" x14ac:dyDescent="0.25">
      <c r="AE990609" s="36"/>
      <c r="AF990609" s="36"/>
    </row>
    <row r="990705" spans="31:32" x14ac:dyDescent="0.25">
      <c r="AE990705" s="34"/>
      <c r="AF990705" s="34"/>
    </row>
    <row r="990713" spans="31:32" x14ac:dyDescent="0.25">
      <c r="AE990713" s="36"/>
      <c r="AF990713" s="36"/>
    </row>
    <row r="990809" spans="31:32" x14ac:dyDescent="0.25">
      <c r="AE990809" s="34"/>
      <c r="AF990809" s="34"/>
    </row>
    <row r="990817" spans="31:32" x14ac:dyDescent="0.25">
      <c r="AE990817" s="36"/>
      <c r="AF990817" s="36"/>
    </row>
    <row r="990913" spans="31:32" x14ac:dyDescent="0.25">
      <c r="AE990913" s="34"/>
      <c r="AF990913" s="34"/>
    </row>
    <row r="990921" spans="31:32" x14ac:dyDescent="0.25">
      <c r="AE990921" s="36"/>
      <c r="AF990921" s="36"/>
    </row>
    <row r="991017" spans="31:32" x14ac:dyDescent="0.25">
      <c r="AE991017" s="34"/>
      <c r="AF991017" s="34"/>
    </row>
    <row r="991025" spans="31:32" x14ac:dyDescent="0.25">
      <c r="AE991025" s="36"/>
      <c r="AF991025" s="36"/>
    </row>
    <row r="991121" spans="31:32" x14ac:dyDescent="0.25">
      <c r="AE991121" s="34"/>
      <c r="AF991121" s="34"/>
    </row>
    <row r="991129" spans="31:32" x14ac:dyDescent="0.25">
      <c r="AE991129" s="36"/>
      <c r="AF991129" s="36"/>
    </row>
    <row r="991225" spans="31:32" x14ac:dyDescent="0.25">
      <c r="AE991225" s="34"/>
      <c r="AF991225" s="34"/>
    </row>
    <row r="991233" spans="31:32" x14ac:dyDescent="0.25">
      <c r="AE991233" s="36"/>
      <c r="AF991233" s="36"/>
    </row>
    <row r="991329" spans="31:32" x14ac:dyDescent="0.25">
      <c r="AE991329" s="34"/>
      <c r="AF991329" s="34"/>
    </row>
    <row r="991337" spans="31:32" x14ac:dyDescent="0.25">
      <c r="AE991337" s="36"/>
      <c r="AF991337" s="36"/>
    </row>
    <row r="991433" spans="31:32" x14ac:dyDescent="0.25">
      <c r="AE991433" s="34"/>
      <c r="AF991433" s="34"/>
    </row>
    <row r="991441" spans="31:32" x14ac:dyDescent="0.25">
      <c r="AE991441" s="36"/>
      <c r="AF991441" s="36"/>
    </row>
    <row r="991537" spans="31:32" x14ac:dyDescent="0.25">
      <c r="AE991537" s="34"/>
      <c r="AF991537" s="34"/>
    </row>
    <row r="991545" spans="31:32" x14ac:dyDescent="0.25">
      <c r="AE991545" s="36"/>
      <c r="AF991545" s="36"/>
    </row>
    <row r="991641" spans="31:32" x14ac:dyDescent="0.25">
      <c r="AE991641" s="34"/>
      <c r="AF991641" s="34"/>
    </row>
    <row r="991649" spans="31:32" x14ac:dyDescent="0.25">
      <c r="AE991649" s="36"/>
      <c r="AF991649" s="36"/>
    </row>
    <row r="991745" spans="31:32" x14ac:dyDescent="0.25">
      <c r="AE991745" s="34"/>
      <c r="AF991745" s="34"/>
    </row>
    <row r="991753" spans="31:32" x14ac:dyDescent="0.25">
      <c r="AE991753" s="36"/>
      <c r="AF991753" s="36"/>
    </row>
    <row r="991849" spans="31:32" x14ac:dyDescent="0.25">
      <c r="AE991849" s="34"/>
      <c r="AF991849" s="34"/>
    </row>
    <row r="991857" spans="31:32" x14ac:dyDescent="0.25">
      <c r="AE991857" s="36"/>
      <c r="AF991857" s="36"/>
    </row>
    <row r="991953" spans="31:32" x14ac:dyDescent="0.25">
      <c r="AE991953" s="34"/>
      <c r="AF991953" s="34"/>
    </row>
    <row r="991961" spans="31:32" x14ac:dyDescent="0.25">
      <c r="AE991961" s="36"/>
      <c r="AF991961" s="36"/>
    </row>
    <row r="992057" spans="31:32" x14ac:dyDescent="0.25">
      <c r="AE992057" s="34"/>
      <c r="AF992057" s="34"/>
    </row>
    <row r="992065" spans="31:32" x14ac:dyDescent="0.25">
      <c r="AE992065" s="36"/>
      <c r="AF992065" s="36"/>
    </row>
    <row r="992161" spans="31:32" x14ac:dyDescent="0.25">
      <c r="AE992161" s="34"/>
      <c r="AF992161" s="34"/>
    </row>
    <row r="992169" spans="31:32" x14ac:dyDescent="0.25">
      <c r="AE992169" s="36"/>
      <c r="AF992169" s="36"/>
    </row>
    <row r="992265" spans="31:32" x14ac:dyDescent="0.25">
      <c r="AE992265" s="34"/>
      <c r="AF992265" s="34"/>
    </row>
    <row r="992273" spans="31:32" x14ac:dyDescent="0.25">
      <c r="AE992273" s="36"/>
      <c r="AF992273" s="36"/>
    </row>
    <row r="992369" spans="31:32" x14ac:dyDescent="0.25">
      <c r="AE992369" s="34"/>
      <c r="AF992369" s="34"/>
    </row>
    <row r="992377" spans="31:32" x14ac:dyDescent="0.25">
      <c r="AE992377" s="36"/>
      <c r="AF992377" s="36"/>
    </row>
    <row r="992473" spans="31:32" x14ac:dyDescent="0.25">
      <c r="AE992473" s="34"/>
      <c r="AF992473" s="34"/>
    </row>
    <row r="992481" spans="31:32" x14ac:dyDescent="0.25">
      <c r="AE992481" s="36"/>
      <c r="AF992481" s="36"/>
    </row>
    <row r="992577" spans="31:32" x14ac:dyDescent="0.25">
      <c r="AE992577" s="34"/>
      <c r="AF992577" s="34"/>
    </row>
    <row r="992585" spans="31:32" x14ac:dyDescent="0.25">
      <c r="AE992585" s="36"/>
      <c r="AF992585" s="36"/>
    </row>
    <row r="992681" spans="31:32" x14ac:dyDescent="0.25">
      <c r="AE992681" s="34"/>
      <c r="AF992681" s="34"/>
    </row>
    <row r="992689" spans="31:32" x14ac:dyDescent="0.25">
      <c r="AE992689" s="36"/>
      <c r="AF992689" s="36"/>
    </row>
    <row r="992785" spans="31:32" x14ac:dyDescent="0.25">
      <c r="AE992785" s="34"/>
      <c r="AF992785" s="34"/>
    </row>
    <row r="992793" spans="31:32" x14ac:dyDescent="0.25">
      <c r="AE992793" s="36"/>
      <c r="AF992793" s="36"/>
    </row>
    <row r="992889" spans="31:32" x14ac:dyDescent="0.25">
      <c r="AE992889" s="34"/>
      <c r="AF992889" s="34"/>
    </row>
    <row r="992897" spans="31:32" x14ac:dyDescent="0.25">
      <c r="AE992897" s="36"/>
      <c r="AF992897" s="36"/>
    </row>
    <row r="992993" spans="31:32" x14ac:dyDescent="0.25">
      <c r="AE992993" s="34"/>
      <c r="AF992993" s="34"/>
    </row>
    <row r="993001" spans="31:32" x14ac:dyDescent="0.25">
      <c r="AE993001" s="36"/>
      <c r="AF993001" s="36"/>
    </row>
    <row r="993097" spans="31:32" x14ac:dyDescent="0.25">
      <c r="AE993097" s="34"/>
      <c r="AF993097" s="34"/>
    </row>
    <row r="993105" spans="31:32" x14ac:dyDescent="0.25">
      <c r="AE993105" s="36"/>
      <c r="AF993105" s="36"/>
    </row>
    <row r="993201" spans="31:32" x14ac:dyDescent="0.25">
      <c r="AE993201" s="34"/>
      <c r="AF993201" s="34"/>
    </row>
    <row r="993209" spans="31:32" x14ac:dyDescent="0.25">
      <c r="AE993209" s="36"/>
      <c r="AF993209" s="36"/>
    </row>
    <row r="993305" spans="31:32" x14ac:dyDescent="0.25">
      <c r="AE993305" s="34"/>
      <c r="AF993305" s="34"/>
    </row>
    <row r="993313" spans="31:32" x14ac:dyDescent="0.25">
      <c r="AE993313" s="36"/>
      <c r="AF993313" s="36"/>
    </row>
    <row r="993409" spans="31:32" x14ac:dyDescent="0.25">
      <c r="AE993409" s="34"/>
      <c r="AF993409" s="34"/>
    </row>
    <row r="993417" spans="31:32" x14ac:dyDescent="0.25">
      <c r="AE993417" s="36"/>
      <c r="AF993417" s="36"/>
    </row>
    <row r="993513" spans="31:32" x14ac:dyDescent="0.25">
      <c r="AE993513" s="34"/>
      <c r="AF993513" s="34"/>
    </row>
    <row r="993521" spans="31:32" x14ac:dyDescent="0.25">
      <c r="AE993521" s="36"/>
      <c r="AF993521" s="36"/>
    </row>
    <row r="993617" spans="31:32" x14ac:dyDescent="0.25">
      <c r="AE993617" s="34"/>
      <c r="AF993617" s="34"/>
    </row>
    <row r="993625" spans="31:32" x14ac:dyDescent="0.25">
      <c r="AE993625" s="36"/>
      <c r="AF993625" s="36"/>
    </row>
    <row r="993721" spans="31:32" x14ac:dyDescent="0.25">
      <c r="AE993721" s="34"/>
      <c r="AF993721" s="34"/>
    </row>
    <row r="993729" spans="31:32" x14ac:dyDescent="0.25">
      <c r="AE993729" s="36"/>
      <c r="AF993729" s="36"/>
    </row>
    <row r="993825" spans="31:32" x14ac:dyDescent="0.25">
      <c r="AE993825" s="34"/>
      <c r="AF993825" s="34"/>
    </row>
    <row r="993833" spans="31:32" x14ac:dyDescent="0.25">
      <c r="AE993833" s="36"/>
      <c r="AF993833" s="36"/>
    </row>
    <row r="993929" spans="31:32" x14ac:dyDescent="0.25">
      <c r="AE993929" s="34"/>
      <c r="AF993929" s="34"/>
    </row>
    <row r="993937" spans="31:32" x14ac:dyDescent="0.25">
      <c r="AE993937" s="36"/>
      <c r="AF993937" s="36"/>
    </row>
    <row r="994033" spans="31:32" x14ac:dyDescent="0.25">
      <c r="AE994033" s="34"/>
      <c r="AF994033" s="34"/>
    </row>
    <row r="994041" spans="31:32" x14ac:dyDescent="0.25">
      <c r="AE994041" s="36"/>
      <c r="AF994041" s="36"/>
    </row>
    <row r="994137" spans="31:32" x14ac:dyDescent="0.25">
      <c r="AE994137" s="34"/>
      <c r="AF994137" s="34"/>
    </row>
    <row r="994145" spans="31:32" x14ac:dyDescent="0.25">
      <c r="AE994145" s="36"/>
      <c r="AF994145" s="36"/>
    </row>
    <row r="994241" spans="31:32" x14ac:dyDescent="0.25">
      <c r="AE994241" s="34"/>
      <c r="AF994241" s="34"/>
    </row>
    <row r="994249" spans="31:32" x14ac:dyDescent="0.25">
      <c r="AE994249" s="36"/>
      <c r="AF994249" s="36"/>
    </row>
    <row r="994345" spans="31:32" x14ac:dyDescent="0.25">
      <c r="AE994345" s="34"/>
      <c r="AF994345" s="34"/>
    </row>
    <row r="994353" spans="31:32" x14ac:dyDescent="0.25">
      <c r="AE994353" s="36"/>
      <c r="AF994353" s="36"/>
    </row>
    <row r="994449" spans="31:32" x14ac:dyDescent="0.25">
      <c r="AE994449" s="34"/>
      <c r="AF994449" s="34"/>
    </row>
    <row r="994457" spans="31:32" x14ac:dyDescent="0.25">
      <c r="AE994457" s="36"/>
      <c r="AF994457" s="36"/>
    </row>
    <row r="994553" spans="31:32" x14ac:dyDescent="0.25">
      <c r="AE994553" s="34"/>
      <c r="AF994553" s="34"/>
    </row>
    <row r="994561" spans="31:32" x14ac:dyDescent="0.25">
      <c r="AE994561" s="36"/>
      <c r="AF994561" s="36"/>
    </row>
    <row r="994657" spans="31:32" x14ac:dyDescent="0.25">
      <c r="AE994657" s="34"/>
      <c r="AF994657" s="34"/>
    </row>
    <row r="994665" spans="31:32" x14ac:dyDescent="0.25">
      <c r="AE994665" s="36"/>
      <c r="AF994665" s="36"/>
    </row>
    <row r="994761" spans="31:32" x14ac:dyDescent="0.25">
      <c r="AE994761" s="34"/>
      <c r="AF994761" s="34"/>
    </row>
    <row r="994769" spans="31:32" x14ac:dyDescent="0.25">
      <c r="AE994769" s="36"/>
      <c r="AF994769" s="36"/>
    </row>
    <row r="994865" spans="31:32" x14ac:dyDescent="0.25">
      <c r="AE994865" s="34"/>
      <c r="AF994865" s="34"/>
    </row>
    <row r="994873" spans="31:32" x14ac:dyDescent="0.25">
      <c r="AE994873" s="36"/>
      <c r="AF994873" s="36"/>
    </row>
    <row r="994969" spans="31:32" x14ac:dyDescent="0.25">
      <c r="AE994969" s="34"/>
      <c r="AF994969" s="34"/>
    </row>
    <row r="994977" spans="31:32" x14ac:dyDescent="0.25">
      <c r="AE994977" s="36"/>
      <c r="AF994977" s="36"/>
    </row>
    <row r="995073" spans="31:32" x14ac:dyDescent="0.25">
      <c r="AE995073" s="34"/>
      <c r="AF995073" s="34"/>
    </row>
    <row r="995081" spans="31:32" x14ac:dyDescent="0.25">
      <c r="AE995081" s="36"/>
      <c r="AF995081" s="36"/>
    </row>
    <row r="995177" spans="31:32" x14ac:dyDescent="0.25">
      <c r="AE995177" s="34"/>
      <c r="AF995177" s="34"/>
    </row>
    <row r="995185" spans="31:32" x14ac:dyDescent="0.25">
      <c r="AE995185" s="36"/>
      <c r="AF995185" s="36"/>
    </row>
    <row r="995281" spans="31:32" x14ac:dyDescent="0.25">
      <c r="AE995281" s="34"/>
      <c r="AF995281" s="34"/>
    </row>
    <row r="995289" spans="31:32" x14ac:dyDescent="0.25">
      <c r="AE995289" s="36"/>
      <c r="AF995289" s="36"/>
    </row>
    <row r="995385" spans="31:32" x14ac:dyDescent="0.25">
      <c r="AE995385" s="34"/>
      <c r="AF995385" s="34"/>
    </row>
    <row r="995393" spans="31:32" x14ac:dyDescent="0.25">
      <c r="AE995393" s="36"/>
      <c r="AF995393" s="36"/>
    </row>
    <row r="995489" spans="31:32" x14ac:dyDescent="0.25">
      <c r="AE995489" s="34"/>
      <c r="AF995489" s="34"/>
    </row>
    <row r="995497" spans="31:32" x14ac:dyDescent="0.25">
      <c r="AE995497" s="36"/>
      <c r="AF995497" s="36"/>
    </row>
    <row r="995593" spans="31:32" x14ac:dyDescent="0.25">
      <c r="AE995593" s="34"/>
      <c r="AF995593" s="34"/>
    </row>
    <row r="995601" spans="31:32" x14ac:dyDescent="0.25">
      <c r="AE995601" s="36"/>
      <c r="AF995601" s="36"/>
    </row>
    <row r="995697" spans="31:32" x14ac:dyDescent="0.25">
      <c r="AE995697" s="34"/>
      <c r="AF995697" s="34"/>
    </row>
    <row r="995705" spans="31:32" x14ac:dyDescent="0.25">
      <c r="AE995705" s="36"/>
      <c r="AF995705" s="36"/>
    </row>
    <row r="995801" spans="31:32" x14ac:dyDescent="0.25">
      <c r="AE995801" s="34"/>
      <c r="AF995801" s="34"/>
    </row>
    <row r="995809" spans="31:32" x14ac:dyDescent="0.25">
      <c r="AE995809" s="36"/>
      <c r="AF995809" s="36"/>
    </row>
    <row r="995905" spans="31:32" x14ac:dyDescent="0.25">
      <c r="AE995905" s="34"/>
      <c r="AF995905" s="34"/>
    </row>
    <row r="995913" spans="31:32" x14ac:dyDescent="0.25">
      <c r="AE995913" s="36"/>
      <c r="AF995913" s="36"/>
    </row>
    <row r="996009" spans="31:32" x14ac:dyDescent="0.25">
      <c r="AE996009" s="34"/>
      <c r="AF996009" s="34"/>
    </row>
    <row r="996017" spans="31:32" x14ac:dyDescent="0.25">
      <c r="AE996017" s="36"/>
      <c r="AF996017" s="36"/>
    </row>
    <row r="996113" spans="31:32" x14ac:dyDescent="0.25">
      <c r="AE996113" s="34"/>
      <c r="AF996113" s="34"/>
    </row>
    <row r="996121" spans="31:32" x14ac:dyDescent="0.25">
      <c r="AE996121" s="36"/>
      <c r="AF996121" s="36"/>
    </row>
    <row r="996217" spans="31:32" x14ac:dyDescent="0.25">
      <c r="AE996217" s="34"/>
      <c r="AF996217" s="34"/>
    </row>
    <row r="996225" spans="31:32" x14ac:dyDescent="0.25">
      <c r="AE996225" s="36"/>
      <c r="AF996225" s="36"/>
    </row>
    <row r="996321" spans="31:32" x14ac:dyDescent="0.25">
      <c r="AE996321" s="34"/>
      <c r="AF996321" s="34"/>
    </row>
    <row r="996329" spans="31:32" x14ac:dyDescent="0.25">
      <c r="AE996329" s="36"/>
      <c r="AF996329" s="36"/>
    </row>
    <row r="996425" spans="31:32" x14ac:dyDescent="0.25">
      <c r="AE996425" s="34"/>
      <c r="AF996425" s="34"/>
    </row>
    <row r="996433" spans="31:32" x14ac:dyDescent="0.25">
      <c r="AE996433" s="36"/>
      <c r="AF996433" s="36"/>
    </row>
    <row r="996529" spans="31:32" x14ac:dyDescent="0.25">
      <c r="AE996529" s="34"/>
      <c r="AF996529" s="34"/>
    </row>
    <row r="996537" spans="31:32" x14ac:dyDescent="0.25">
      <c r="AE996537" s="36"/>
      <c r="AF996537" s="36"/>
    </row>
    <row r="996633" spans="31:32" x14ac:dyDescent="0.25">
      <c r="AE996633" s="34"/>
      <c r="AF996633" s="34"/>
    </row>
    <row r="996641" spans="31:32" x14ac:dyDescent="0.25">
      <c r="AE996641" s="36"/>
      <c r="AF996641" s="36"/>
    </row>
    <row r="996737" spans="31:32" x14ac:dyDescent="0.25">
      <c r="AE996737" s="34"/>
      <c r="AF996737" s="34"/>
    </row>
    <row r="996745" spans="31:32" x14ac:dyDescent="0.25">
      <c r="AE996745" s="36"/>
      <c r="AF996745" s="36"/>
    </row>
    <row r="996841" spans="31:32" x14ac:dyDescent="0.25">
      <c r="AE996841" s="34"/>
      <c r="AF996841" s="34"/>
    </row>
    <row r="996849" spans="31:32" x14ac:dyDescent="0.25">
      <c r="AE996849" s="36"/>
      <c r="AF996849" s="36"/>
    </row>
    <row r="996945" spans="31:32" x14ac:dyDescent="0.25">
      <c r="AE996945" s="34"/>
      <c r="AF996945" s="34"/>
    </row>
    <row r="996953" spans="31:32" x14ac:dyDescent="0.25">
      <c r="AE996953" s="36"/>
      <c r="AF996953" s="36"/>
    </row>
    <row r="997049" spans="31:32" x14ac:dyDescent="0.25">
      <c r="AE997049" s="34"/>
      <c r="AF997049" s="34"/>
    </row>
    <row r="997057" spans="31:32" x14ac:dyDescent="0.25">
      <c r="AE997057" s="36"/>
      <c r="AF997057" s="36"/>
    </row>
    <row r="997153" spans="31:32" x14ac:dyDescent="0.25">
      <c r="AE997153" s="34"/>
      <c r="AF997153" s="34"/>
    </row>
    <row r="997161" spans="31:32" x14ac:dyDescent="0.25">
      <c r="AE997161" s="36"/>
      <c r="AF997161" s="36"/>
    </row>
    <row r="997257" spans="31:32" x14ac:dyDescent="0.25">
      <c r="AE997257" s="34"/>
      <c r="AF997257" s="34"/>
    </row>
    <row r="997265" spans="31:32" x14ac:dyDescent="0.25">
      <c r="AE997265" s="36"/>
      <c r="AF997265" s="36"/>
    </row>
    <row r="997361" spans="31:32" x14ac:dyDescent="0.25">
      <c r="AE997361" s="34"/>
      <c r="AF997361" s="34"/>
    </row>
    <row r="997369" spans="31:32" x14ac:dyDescent="0.25">
      <c r="AE997369" s="36"/>
      <c r="AF997369" s="36"/>
    </row>
    <row r="997465" spans="31:32" x14ac:dyDescent="0.25">
      <c r="AE997465" s="34"/>
      <c r="AF997465" s="34"/>
    </row>
    <row r="997473" spans="31:32" x14ac:dyDescent="0.25">
      <c r="AE997473" s="36"/>
      <c r="AF997473" s="36"/>
    </row>
    <row r="997569" spans="31:32" x14ac:dyDescent="0.25">
      <c r="AE997569" s="34"/>
      <c r="AF997569" s="34"/>
    </row>
    <row r="997577" spans="31:32" x14ac:dyDescent="0.25">
      <c r="AE997577" s="36"/>
      <c r="AF997577" s="36"/>
    </row>
    <row r="997673" spans="31:32" x14ac:dyDescent="0.25">
      <c r="AE997673" s="34"/>
      <c r="AF997673" s="34"/>
    </row>
    <row r="997681" spans="31:32" x14ac:dyDescent="0.25">
      <c r="AE997681" s="36"/>
      <c r="AF997681" s="36"/>
    </row>
    <row r="997777" spans="31:32" x14ac:dyDescent="0.25">
      <c r="AE997777" s="34"/>
      <c r="AF997777" s="34"/>
    </row>
    <row r="997785" spans="31:32" x14ac:dyDescent="0.25">
      <c r="AE997785" s="36"/>
      <c r="AF997785" s="36"/>
    </row>
    <row r="997881" spans="31:32" x14ac:dyDescent="0.25">
      <c r="AE997881" s="34"/>
      <c r="AF997881" s="34"/>
    </row>
    <row r="997889" spans="31:32" x14ac:dyDescent="0.25">
      <c r="AE997889" s="36"/>
      <c r="AF997889" s="36"/>
    </row>
    <row r="997985" spans="31:32" x14ac:dyDescent="0.25">
      <c r="AE997985" s="34"/>
      <c r="AF997985" s="34"/>
    </row>
    <row r="997993" spans="31:32" x14ac:dyDescent="0.25">
      <c r="AE997993" s="36"/>
      <c r="AF997993" s="36"/>
    </row>
    <row r="998089" spans="31:32" x14ac:dyDescent="0.25">
      <c r="AE998089" s="34"/>
      <c r="AF998089" s="34"/>
    </row>
    <row r="998097" spans="31:32" x14ac:dyDescent="0.25">
      <c r="AE998097" s="36"/>
      <c r="AF998097" s="36"/>
    </row>
    <row r="998193" spans="31:32" x14ac:dyDescent="0.25">
      <c r="AE998193" s="34"/>
      <c r="AF998193" s="34"/>
    </row>
    <row r="998201" spans="31:32" x14ac:dyDescent="0.25">
      <c r="AE998201" s="36"/>
      <c r="AF998201" s="36"/>
    </row>
    <row r="998297" spans="31:32" x14ac:dyDescent="0.25">
      <c r="AE998297" s="34"/>
      <c r="AF998297" s="34"/>
    </row>
    <row r="998305" spans="31:32" x14ac:dyDescent="0.25">
      <c r="AE998305" s="36"/>
      <c r="AF998305" s="36"/>
    </row>
    <row r="998401" spans="31:32" x14ac:dyDescent="0.25">
      <c r="AE998401" s="34"/>
      <c r="AF998401" s="34"/>
    </row>
    <row r="998409" spans="31:32" x14ac:dyDescent="0.25">
      <c r="AE998409" s="36"/>
      <c r="AF998409" s="36"/>
    </row>
    <row r="998505" spans="31:32" x14ac:dyDescent="0.25">
      <c r="AE998505" s="34"/>
      <c r="AF998505" s="34"/>
    </row>
    <row r="998513" spans="31:32" x14ac:dyDescent="0.25">
      <c r="AE998513" s="36"/>
      <c r="AF998513" s="36"/>
    </row>
    <row r="998609" spans="31:32" x14ac:dyDescent="0.25">
      <c r="AE998609" s="34"/>
      <c r="AF998609" s="34"/>
    </row>
    <row r="998617" spans="31:32" x14ac:dyDescent="0.25">
      <c r="AE998617" s="36"/>
      <c r="AF998617" s="36"/>
    </row>
    <row r="998713" spans="31:32" x14ac:dyDescent="0.25">
      <c r="AE998713" s="34"/>
      <c r="AF998713" s="34"/>
    </row>
    <row r="998721" spans="31:32" x14ac:dyDescent="0.25">
      <c r="AE998721" s="36"/>
      <c r="AF998721" s="36"/>
    </row>
    <row r="998817" spans="31:32" x14ac:dyDescent="0.25">
      <c r="AE998817" s="34"/>
      <c r="AF998817" s="34"/>
    </row>
    <row r="998825" spans="31:32" x14ac:dyDescent="0.25">
      <c r="AE998825" s="36"/>
      <c r="AF998825" s="36"/>
    </row>
    <row r="998921" spans="31:32" x14ac:dyDescent="0.25">
      <c r="AE998921" s="34"/>
      <c r="AF998921" s="34"/>
    </row>
    <row r="998929" spans="31:32" x14ac:dyDescent="0.25">
      <c r="AE998929" s="36"/>
      <c r="AF998929" s="36"/>
    </row>
    <row r="999025" spans="31:32" x14ac:dyDescent="0.25">
      <c r="AE999025" s="34"/>
      <c r="AF999025" s="34"/>
    </row>
    <row r="999033" spans="31:32" x14ac:dyDescent="0.25">
      <c r="AE999033" s="36"/>
      <c r="AF999033" s="36"/>
    </row>
    <row r="999129" spans="31:32" x14ac:dyDescent="0.25">
      <c r="AE999129" s="34"/>
      <c r="AF999129" s="34"/>
    </row>
    <row r="999137" spans="31:32" x14ac:dyDescent="0.25">
      <c r="AE999137" s="36"/>
      <c r="AF999137" s="36"/>
    </row>
    <row r="999233" spans="31:32" x14ac:dyDescent="0.25">
      <c r="AE999233" s="34"/>
      <c r="AF999233" s="34"/>
    </row>
    <row r="999241" spans="31:32" x14ac:dyDescent="0.25">
      <c r="AE999241" s="36"/>
      <c r="AF999241" s="36"/>
    </row>
    <row r="999337" spans="31:32" x14ac:dyDescent="0.25">
      <c r="AE999337" s="34"/>
      <c r="AF999337" s="34"/>
    </row>
    <row r="999345" spans="31:32" x14ac:dyDescent="0.25">
      <c r="AE999345" s="36"/>
      <c r="AF999345" s="36"/>
    </row>
    <row r="999441" spans="31:32" x14ac:dyDescent="0.25">
      <c r="AE999441" s="34"/>
      <c r="AF999441" s="34"/>
    </row>
    <row r="999449" spans="31:32" x14ac:dyDescent="0.25">
      <c r="AE999449" s="36"/>
      <c r="AF999449" s="36"/>
    </row>
    <row r="999545" spans="31:32" x14ac:dyDescent="0.25">
      <c r="AE999545" s="34"/>
      <c r="AF999545" s="34"/>
    </row>
    <row r="999553" spans="31:32" x14ac:dyDescent="0.25">
      <c r="AE999553" s="36"/>
      <c r="AF999553" s="36"/>
    </row>
    <row r="999649" spans="31:32" x14ac:dyDescent="0.25">
      <c r="AE999649" s="34"/>
      <c r="AF999649" s="34"/>
    </row>
    <row r="999657" spans="31:32" x14ac:dyDescent="0.25">
      <c r="AE999657" s="36"/>
      <c r="AF999657" s="36"/>
    </row>
    <row r="999753" spans="31:32" x14ac:dyDescent="0.25">
      <c r="AE999753" s="34"/>
      <c r="AF999753" s="34"/>
    </row>
    <row r="999761" spans="31:32" x14ac:dyDescent="0.25">
      <c r="AE999761" s="36"/>
      <c r="AF999761" s="36"/>
    </row>
    <row r="999857" spans="31:32" x14ac:dyDescent="0.25">
      <c r="AE999857" s="34"/>
      <c r="AF999857" s="34"/>
    </row>
    <row r="999865" spans="31:32" x14ac:dyDescent="0.25">
      <c r="AE999865" s="36"/>
      <c r="AF999865" s="36"/>
    </row>
    <row r="999961" spans="31:32" x14ac:dyDescent="0.25">
      <c r="AE999961" s="34"/>
      <c r="AF999961" s="34"/>
    </row>
    <row r="999969" spans="31:32" x14ac:dyDescent="0.25">
      <c r="AE999969" s="36"/>
      <c r="AF999969" s="36"/>
    </row>
    <row r="1000065" spans="31:32" x14ac:dyDescent="0.25">
      <c r="AE1000065" s="34"/>
      <c r="AF1000065" s="34"/>
    </row>
    <row r="1000073" spans="31:32" x14ac:dyDescent="0.25">
      <c r="AE1000073" s="36"/>
      <c r="AF1000073" s="36"/>
    </row>
    <row r="1000169" spans="31:32" x14ac:dyDescent="0.25">
      <c r="AE1000169" s="34"/>
      <c r="AF1000169" s="34"/>
    </row>
    <row r="1000177" spans="31:32" x14ac:dyDescent="0.25">
      <c r="AE1000177" s="36"/>
      <c r="AF1000177" s="36"/>
    </row>
    <row r="1000273" spans="31:32" x14ac:dyDescent="0.25">
      <c r="AE1000273" s="34"/>
      <c r="AF1000273" s="34"/>
    </row>
    <row r="1000281" spans="31:32" x14ac:dyDescent="0.25">
      <c r="AE1000281" s="36"/>
      <c r="AF1000281" s="36"/>
    </row>
    <row r="1000377" spans="31:32" x14ac:dyDescent="0.25">
      <c r="AE1000377" s="34"/>
      <c r="AF1000377" s="34"/>
    </row>
    <row r="1000385" spans="31:32" x14ac:dyDescent="0.25">
      <c r="AE1000385" s="36"/>
      <c r="AF1000385" s="36"/>
    </row>
    <row r="1000481" spans="31:32" x14ac:dyDescent="0.25">
      <c r="AE1000481" s="34"/>
      <c r="AF1000481" s="34"/>
    </row>
    <row r="1000489" spans="31:32" x14ac:dyDescent="0.25">
      <c r="AE1000489" s="36"/>
      <c r="AF1000489" s="36"/>
    </row>
    <row r="1000585" spans="31:32" x14ac:dyDescent="0.25">
      <c r="AE1000585" s="34"/>
      <c r="AF1000585" s="34"/>
    </row>
    <row r="1000593" spans="31:32" x14ac:dyDescent="0.25">
      <c r="AE1000593" s="36"/>
      <c r="AF1000593" s="36"/>
    </row>
    <row r="1000689" spans="31:32" x14ac:dyDescent="0.25">
      <c r="AE1000689" s="34"/>
      <c r="AF1000689" s="34"/>
    </row>
    <row r="1000697" spans="31:32" x14ac:dyDescent="0.25">
      <c r="AE1000697" s="36"/>
      <c r="AF1000697" s="36"/>
    </row>
    <row r="1000793" spans="31:32" x14ac:dyDescent="0.25">
      <c r="AE1000793" s="34"/>
      <c r="AF1000793" s="34"/>
    </row>
    <row r="1000801" spans="31:32" x14ac:dyDescent="0.25">
      <c r="AE1000801" s="36"/>
      <c r="AF1000801" s="36"/>
    </row>
    <row r="1000897" spans="31:32" x14ac:dyDescent="0.25">
      <c r="AE1000897" s="34"/>
      <c r="AF1000897" s="34"/>
    </row>
    <row r="1000905" spans="31:32" x14ac:dyDescent="0.25">
      <c r="AE1000905" s="36"/>
      <c r="AF1000905" s="36"/>
    </row>
    <row r="1001001" spans="31:32" x14ac:dyDescent="0.25">
      <c r="AE1001001" s="34"/>
      <c r="AF1001001" s="34"/>
    </row>
    <row r="1001009" spans="31:32" x14ac:dyDescent="0.25">
      <c r="AE1001009" s="36"/>
      <c r="AF1001009" s="36"/>
    </row>
    <row r="1001105" spans="31:32" x14ac:dyDescent="0.25">
      <c r="AE1001105" s="34"/>
      <c r="AF1001105" s="34"/>
    </row>
    <row r="1001113" spans="31:32" x14ac:dyDescent="0.25">
      <c r="AE1001113" s="36"/>
      <c r="AF1001113" s="36"/>
    </row>
    <row r="1001209" spans="31:32" x14ac:dyDescent="0.25">
      <c r="AE1001209" s="34"/>
      <c r="AF1001209" s="34"/>
    </row>
    <row r="1001217" spans="31:32" x14ac:dyDescent="0.25">
      <c r="AE1001217" s="36"/>
      <c r="AF1001217" s="36"/>
    </row>
    <row r="1001313" spans="31:32" x14ac:dyDescent="0.25">
      <c r="AE1001313" s="34"/>
      <c r="AF1001313" s="34"/>
    </row>
    <row r="1001321" spans="31:32" x14ac:dyDescent="0.25">
      <c r="AE1001321" s="36"/>
      <c r="AF1001321" s="36"/>
    </row>
    <row r="1001417" spans="31:32" x14ac:dyDescent="0.25">
      <c r="AE1001417" s="34"/>
      <c r="AF1001417" s="34"/>
    </row>
    <row r="1001425" spans="31:32" x14ac:dyDescent="0.25">
      <c r="AE1001425" s="36"/>
      <c r="AF1001425" s="36"/>
    </row>
    <row r="1001521" spans="31:32" x14ac:dyDescent="0.25">
      <c r="AE1001521" s="34"/>
      <c r="AF1001521" s="34"/>
    </row>
    <row r="1001529" spans="31:32" x14ac:dyDescent="0.25">
      <c r="AE1001529" s="36"/>
      <c r="AF1001529" s="36"/>
    </row>
    <row r="1001625" spans="31:32" x14ac:dyDescent="0.25">
      <c r="AE1001625" s="34"/>
      <c r="AF1001625" s="34"/>
    </row>
    <row r="1001633" spans="31:32" x14ac:dyDescent="0.25">
      <c r="AE1001633" s="36"/>
      <c r="AF1001633" s="36"/>
    </row>
    <row r="1001729" spans="31:32" x14ac:dyDescent="0.25">
      <c r="AE1001729" s="34"/>
      <c r="AF1001729" s="34"/>
    </row>
    <row r="1001737" spans="31:32" x14ac:dyDescent="0.25">
      <c r="AE1001737" s="36"/>
      <c r="AF1001737" s="36"/>
    </row>
    <row r="1001833" spans="31:32" x14ac:dyDescent="0.25">
      <c r="AE1001833" s="34"/>
      <c r="AF1001833" s="34"/>
    </row>
    <row r="1001841" spans="31:32" x14ac:dyDescent="0.25">
      <c r="AE1001841" s="36"/>
      <c r="AF1001841" s="36"/>
    </row>
    <row r="1001937" spans="31:32" x14ac:dyDescent="0.25">
      <c r="AE1001937" s="34"/>
      <c r="AF1001937" s="34"/>
    </row>
    <row r="1001945" spans="31:32" x14ac:dyDescent="0.25">
      <c r="AE1001945" s="36"/>
      <c r="AF1001945" s="36"/>
    </row>
    <row r="1002041" spans="31:32" x14ac:dyDescent="0.25">
      <c r="AE1002041" s="34"/>
      <c r="AF1002041" s="34"/>
    </row>
    <row r="1002049" spans="31:32" x14ac:dyDescent="0.25">
      <c r="AE1002049" s="36"/>
      <c r="AF1002049" s="36"/>
    </row>
    <row r="1002145" spans="31:32" x14ac:dyDescent="0.25">
      <c r="AE1002145" s="34"/>
      <c r="AF1002145" s="34"/>
    </row>
    <row r="1002153" spans="31:32" x14ac:dyDescent="0.25">
      <c r="AE1002153" s="36"/>
      <c r="AF1002153" s="36"/>
    </row>
    <row r="1002249" spans="31:32" x14ac:dyDescent="0.25">
      <c r="AE1002249" s="34"/>
      <c r="AF1002249" s="34"/>
    </row>
    <row r="1002257" spans="31:32" x14ac:dyDescent="0.25">
      <c r="AE1002257" s="36"/>
      <c r="AF1002257" s="36"/>
    </row>
    <row r="1002353" spans="31:32" x14ac:dyDescent="0.25">
      <c r="AE1002353" s="34"/>
      <c r="AF1002353" s="34"/>
    </row>
    <row r="1002361" spans="31:32" x14ac:dyDescent="0.25">
      <c r="AE1002361" s="36"/>
      <c r="AF1002361" s="36"/>
    </row>
    <row r="1002457" spans="31:32" x14ac:dyDescent="0.25">
      <c r="AE1002457" s="34"/>
      <c r="AF1002457" s="34"/>
    </row>
    <row r="1002465" spans="31:32" x14ac:dyDescent="0.25">
      <c r="AE1002465" s="36"/>
      <c r="AF1002465" s="36"/>
    </row>
    <row r="1002561" spans="31:32" x14ac:dyDescent="0.25">
      <c r="AE1002561" s="34"/>
      <c r="AF1002561" s="34"/>
    </row>
    <row r="1002569" spans="31:32" x14ac:dyDescent="0.25">
      <c r="AE1002569" s="36"/>
      <c r="AF1002569" s="36"/>
    </row>
    <row r="1002665" spans="31:32" x14ac:dyDescent="0.25">
      <c r="AE1002665" s="34"/>
      <c r="AF1002665" s="34"/>
    </row>
    <row r="1002673" spans="31:32" x14ac:dyDescent="0.25">
      <c r="AE1002673" s="36"/>
      <c r="AF1002673" s="36"/>
    </row>
    <row r="1002769" spans="31:32" x14ac:dyDescent="0.25">
      <c r="AE1002769" s="34"/>
      <c r="AF1002769" s="34"/>
    </row>
    <row r="1002777" spans="31:32" x14ac:dyDescent="0.25">
      <c r="AE1002777" s="36"/>
      <c r="AF1002777" s="36"/>
    </row>
    <row r="1002873" spans="31:32" x14ac:dyDescent="0.25">
      <c r="AE1002873" s="34"/>
      <c r="AF1002873" s="34"/>
    </row>
    <row r="1002881" spans="31:32" x14ac:dyDescent="0.25">
      <c r="AE1002881" s="36"/>
      <c r="AF1002881" s="36"/>
    </row>
    <row r="1002977" spans="31:32" x14ac:dyDescent="0.25">
      <c r="AE1002977" s="34"/>
      <c r="AF1002977" s="34"/>
    </row>
    <row r="1002985" spans="31:32" x14ac:dyDescent="0.25">
      <c r="AE1002985" s="36"/>
      <c r="AF1002985" s="36"/>
    </row>
    <row r="1003081" spans="31:32" x14ac:dyDescent="0.25">
      <c r="AE1003081" s="34"/>
      <c r="AF1003081" s="34"/>
    </row>
    <row r="1003089" spans="31:32" x14ac:dyDescent="0.25">
      <c r="AE1003089" s="36"/>
      <c r="AF1003089" s="36"/>
    </row>
    <row r="1003185" spans="31:32" x14ac:dyDescent="0.25">
      <c r="AE1003185" s="34"/>
      <c r="AF1003185" s="34"/>
    </row>
    <row r="1003193" spans="31:32" x14ac:dyDescent="0.25">
      <c r="AE1003193" s="36"/>
      <c r="AF1003193" s="36"/>
    </row>
    <row r="1003289" spans="31:32" x14ac:dyDescent="0.25">
      <c r="AE1003289" s="34"/>
      <c r="AF1003289" s="34"/>
    </row>
    <row r="1003297" spans="31:32" x14ac:dyDescent="0.25">
      <c r="AE1003297" s="36"/>
      <c r="AF1003297" s="36"/>
    </row>
    <row r="1003393" spans="31:32" x14ac:dyDescent="0.25">
      <c r="AE1003393" s="34"/>
      <c r="AF1003393" s="34"/>
    </row>
    <row r="1003401" spans="31:32" x14ac:dyDescent="0.25">
      <c r="AE1003401" s="36"/>
      <c r="AF1003401" s="36"/>
    </row>
    <row r="1003497" spans="31:32" x14ac:dyDescent="0.25">
      <c r="AE1003497" s="34"/>
      <c r="AF1003497" s="34"/>
    </row>
    <row r="1003505" spans="31:32" x14ac:dyDescent="0.25">
      <c r="AE1003505" s="36"/>
      <c r="AF1003505" s="36"/>
    </row>
    <row r="1003601" spans="31:32" x14ac:dyDescent="0.25">
      <c r="AE1003601" s="34"/>
      <c r="AF1003601" s="34"/>
    </row>
    <row r="1003609" spans="31:32" x14ac:dyDescent="0.25">
      <c r="AE1003609" s="36"/>
      <c r="AF1003609" s="36"/>
    </row>
    <row r="1003705" spans="31:32" x14ac:dyDescent="0.25">
      <c r="AE1003705" s="34"/>
      <c r="AF1003705" s="34"/>
    </row>
    <row r="1003713" spans="31:32" x14ac:dyDescent="0.25">
      <c r="AE1003713" s="36"/>
      <c r="AF1003713" s="36"/>
    </row>
    <row r="1003809" spans="31:32" x14ac:dyDescent="0.25">
      <c r="AE1003809" s="34"/>
      <c r="AF1003809" s="34"/>
    </row>
    <row r="1003817" spans="31:32" x14ac:dyDescent="0.25">
      <c r="AE1003817" s="36"/>
      <c r="AF1003817" s="36"/>
    </row>
    <row r="1003913" spans="31:32" x14ac:dyDescent="0.25">
      <c r="AE1003913" s="34"/>
      <c r="AF1003913" s="34"/>
    </row>
    <row r="1003921" spans="31:32" x14ac:dyDescent="0.25">
      <c r="AE1003921" s="36"/>
      <c r="AF1003921" s="36"/>
    </row>
    <row r="1004017" spans="31:32" x14ac:dyDescent="0.25">
      <c r="AE1004017" s="34"/>
      <c r="AF1004017" s="34"/>
    </row>
    <row r="1004025" spans="31:32" x14ac:dyDescent="0.25">
      <c r="AE1004025" s="36"/>
      <c r="AF1004025" s="36"/>
    </row>
    <row r="1004121" spans="31:32" x14ac:dyDescent="0.25">
      <c r="AE1004121" s="34"/>
      <c r="AF1004121" s="34"/>
    </row>
    <row r="1004129" spans="31:32" x14ac:dyDescent="0.25">
      <c r="AE1004129" s="36"/>
      <c r="AF1004129" s="36"/>
    </row>
    <row r="1004225" spans="31:32" x14ac:dyDescent="0.25">
      <c r="AE1004225" s="34"/>
      <c r="AF1004225" s="34"/>
    </row>
    <row r="1004233" spans="31:32" x14ac:dyDescent="0.25">
      <c r="AE1004233" s="36"/>
      <c r="AF1004233" s="36"/>
    </row>
    <row r="1004329" spans="31:32" x14ac:dyDescent="0.25">
      <c r="AE1004329" s="34"/>
      <c r="AF1004329" s="34"/>
    </row>
    <row r="1004337" spans="31:32" x14ac:dyDescent="0.25">
      <c r="AE1004337" s="36"/>
      <c r="AF1004337" s="36"/>
    </row>
    <row r="1004433" spans="31:32" x14ac:dyDescent="0.25">
      <c r="AE1004433" s="34"/>
      <c r="AF1004433" s="34"/>
    </row>
    <row r="1004441" spans="31:32" x14ac:dyDescent="0.25">
      <c r="AE1004441" s="36"/>
      <c r="AF1004441" s="36"/>
    </row>
    <row r="1004537" spans="31:32" x14ac:dyDescent="0.25">
      <c r="AE1004537" s="34"/>
      <c r="AF1004537" s="34"/>
    </row>
    <row r="1004545" spans="31:32" x14ac:dyDescent="0.25">
      <c r="AE1004545" s="36"/>
      <c r="AF1004545" s="36"/>
    </row>
    <row r="1004641" spans="31:32" x14ac:dyDescent="0.25">
      <c r="AE1004641" s="34"/>
      <c r="AF1004641" s="34"/>
    </row>
    <row r="1004649" spans="31:32" x14ac:dyDescent="0.25">
      <c r="AE1004649" s="36"/>
      <c r="AF1004649" s="36"/>
    </row>
    <row r="1004745" spans="31:32" x14ac:dyDescent="0.25">
      <c r="AE1004745" s="34"/>
      <c r="AF1004745" s="34"/>
    </row>
    <row r="1004753" spans="31:32" x14ac:dyDescent="0.25">
      <c r="AE1004753" s="36"/>
      <c r="AF1004753" s="36"/>
    </row>
    <row r="1004849" spans="31:32" x14ac:dyDescent="0.25">
      <c r="AE1004849" s="34"/>
      <c r="AF1004849" s="34"/>
    </row>
    <row r="1004857" spans="31:32" x14ac:dyDescent="0.25">
      <c r="AE1004857" s="36"/>
      <c r="AF1004857" s="36"/>
    </row>
    <row r="1004953" spans="31:32" x14ac:dyDescent="0.25">
      <c r="AE1004953" s="34"/>
      <c r="AF1004953" s="34"/>
    </row>
    <row r="1004961" spans="31:32" x14ac:dyDescent="0.25">
      <c r="AE1004961" s="36"/>
      <c r="AF1004961" s="36"/>
    </row>
    <row r="1005057" spans="31:32" x14ac:dyDescent="0.25">
      <c r="AE1005057" s="34"/>
      <c r="AF1005057" s="34"/>
    </row>
    <row r="1005065" spans="31:32" x14ac:dyDescent="0.25">
      <c r="AE1005065" s="36"/>
      <c r="AF1005065" s="36"/>
    </row>
    <row r="1005161" spans="31:32" x14ac:dyDescent="0.25">
      <c r="AE1005161" s="34"/>
      <c r="AF1005161" s="34"/>
    </row>
    <row r="1005169" spans="31:32" x14ac:dyDescent="0.25">
      <c r="AE1005169" s="36"/>
      <c r="AF1005169" s="36"/>
    </row>
    <row r="1005265" spans="31:32" x14ac:dyDescent="0.25">
      <c r="AE1005265" s="34"/>
      <c r="AF1005265" s="34"/>
    </row>
    <row r="1005273" spans="31:32" x14ac:dyDescent="0.25">
      <c r="AE1005273" s="36"/>
      <c r="AF1005273" s="36"/>
    </row>
    <row r="1005369" spans="31:32" x14ac:dyDescent="0.25">
      <c r="AE1005369" s="34"/>
      <c r="AF1005369" s="34"/>
    </row>
    <row r="1005377" spans="31:32" x14ac:dyDescent="0.25">
      <c r="AE1005377" s="36"/>
      <c r="AF1005377" s="36"/>
    </row>
    <row r="1005473" spans="31:32" x14ac:dyDescent="0.25">
      <c r="AE1005473" s="34"/>
      <c r="AF1005473" s="34"/>
    </row>
    <row r="1005481" spans="31:32" x14ac:dyDescent="0.25">
      <c r="AE1005481" s="36"/>
      <c r="AF1005481" s="36"/>
    </row>
    <row r="1005577" spans="31:32" x14ac:dyDescent="0.25">
      <c r="AE1005577" s="34"/>
      <c r="AF1005577" s="34"/>
    </row>
    <row r="1005585" spans="31:32" x14ac:dyDescent="0.25">
      <c r="AE1005585" s="36"/>
      <c r="AF1005585" s="36"/>
    </row>
    <row r="1005681" spans="31:32" x14ac:dyDescent="0.25">
      <c r="AE1005681" s="34"/>
      <c r="AF1005681" s="34"/>
    </row>
    <row r="1005689" spans="31:32" x14ac:dyDescent="0.25">
      <c r="AE1005689" s="36"/>
      <c r="AF1005689" s="36"/>
    </row>
    <row r="1005785" spans="31:32" x14ac:dyDescent="0.25">
      <c r="AE1005785" s="34"/>
      <c r="AF1005785" s="34"/>
    </row>
    <row r="1005793" spans="31:32" x14ac:dyDescent="0.25">
      <c r="AE1005793" s="36"/>
      <c r="AF1005793" s="36"/>
    </row>
    <row r="1005889" spans="31:32" x14ac:dyDescent="0.25">
      <c r="AE1005889" s="34"/>
      <c r="AF1005889" s="34"/>
    </row>
    <row r="1005897" spans="31:32" x14ac:dyDescent="0.25">
      <c r="AE1005897" s="36"/>
      <c r="AF1005897" s="36"/>
    </row>
    <row r="1005993" spans="31:32" x14ac:dyDescent="0.25">
      <c r="AE1005993" s="34"/>
      <c r="AF1005993" s="34"/>
    </row>
    <row r="1006001" spans="31:32" x14ac:dyDescent="0.25">
      <c r="AE1006001" s="36"/>
      <c r="AF1006001" s="36"/>
    </row>
    <row r="1006097" spans="31:32" x14ac:dyDescent="0.25">
      <c r="AE1006097" s="34"/>
      <c r="AF1006097" s="34"/>
    </row>
    <row r="1006105" spans="31:32" x14ac:dyDescent="0.25">
      <c r="AE1006105" s="36"/>
      <c r="AF1006105" s="36"/>
    </row>
    <row r="1006201" spans="31:32" x14ac:dyDescent="0.25">
      <c r="AE1006201" s="34"/>
      <c r="AF1006201" s="34"/>
    </row>
    <row r="1006209" spans="31:32" x14ac:dyDescent="0.25">
      <c r="AE1006209" s="36"/>
      <c r="AF1006209" s="36"/>
    </row>
    <row r="1006305" spans="31:32" x14ac:dyDescent="0.25">
      <c r="AE1006305" s="34"/>
      <c r="AF1006305" s="34"/>
    </row>
    <row r="1006313" spans="31:32" x14ac:dyDescent="0.25">
      <c r="AE1006313" s="36"/>
      <c r="AF1006313" s="36"/>
    </row>
    <row r="1006409" spans="31:32" x14ac:dyDescent="0.25">
      <c r="AE1006409" s="34"/>
      <c r="AF1006409" s="34"/>
    </row>
    <row r="1006417" spans="31:32" x14ac:dyDescent="0.25">
      <c r="AE1006417" s="36"/>
      <c r="AF1006417" s="36"/>
    </row>
    <row r="1006513" spans="31:32" x14ac:dyDescent="0.25">
      <c r="AE1006513" s="34"/>
      <c r="AF1006513" s="34"/>
    </row>
    <row r="1006521" spans="31:32" x14ac:dyDescent="0.25">
      <c r="AE1006521" s="36"/>
      <c r="AF1006521" s="36"/>
    </row>
    <row r="1006617" spans="31:32" x14ac:dyDescent="0.25">
      <c r="AE1006617" s="34"/>
      <c r="AF1006617" s="34"/>
    </row>
    <row r="1006625" spans="31:32" x14ac:dyDescent="0.25">
      <c r="AE1006625" s="36"/>
      <c r="AF1006625" s="36"/>
    </row>
    <row r="1006721" spans="31:32" x14ac:dyDescent="0.25">
      <c r="AE1006721" s="34"/>
      <c r="AF1006721" s="34"/>
    </row>
    <row r="1006729" spans="31:32" x14ac:dyDescent="0.25">
      <c r="AE1006729" s="36"/>
      <c r="AF1006729" s="36"/>
    </row>
    <row r="1006825" spans="31:32" x14ac:dyDescent="0.25">
      <c r="AE1006825" s="34"/>
      <c r="AF1006825" s="34"/>
    </row>
    <row r="1006833" spans="31:32" x14ac:dyDescent="0.25">
      <c r="AE1006833" s="36"/>
      <c r="AF1006833" s="36"/>
    </row>
    <row r="1006929" spans="31:32" x14ac:dyDescent="0.25">
      <c r="AE1006929" s="34"/>
      <c r="AF1006929" s="34"/>
    </row>
    <row r="1006937" spans="31:32" x14ac:dyDescent="0.25">
      <c r="AE1006937" s="36"/>
      <c r="AF1006937" s="36"/>
    </row>
    <row r="1007033" spans="31:32" x14ac:dyDescent="0.25">
      <c r="AE1007033" s="34"/>
      <c r="AF1007033" s="34"/>
    </row>
    <row r="1007041" spans="31:32" x14ac:dyDescent="0.25">
      <c r="AE1007041" s="36"/>
      <c r="AF1007041" s="36"/>
    </row>
    <row r="1007137" spans="31:32" x14ac:dyDescent="0.25">
      <c r="AE1007137" s="34"/>
      <c r="AF1007137" s="34"/>
    </row>
    <row r="1007145" spans="31:32" x14ac:dyDescent="0.25">
      <c r="AE1007145" s="36"/>
      <c r="AF1007145" s="36"/>
    </row>
    <row r="1007241" spans="31:32" x14ac:dyDescent="0.25">
      <c r="AE1007241" s="34"/>
      <c r="AF1007241" s="34"/>
    </row>
    <row r="1007249" spans="31:32" x14ac:dyDescent="0.25">
      <c r="AE1007249" s="36"/>
      <c r="AF1007249" s="36"/>
    </row>
    <row r="1007345" spans="31:32" x14ac:dyDescent="0.25">
      <c r="AE1007345" s="34"/>
      <c r="AF1007345" s="34"/>
    </row>
    <row r="1007353" spans="31:32" x14ac:dyDescent="0.25">
      <c r="AE1007353" s="36"/>
      <c r="AF1007353" s="36"/>
    </row>
    <row r="1007449" spans="31:32" x14ac:dyDescent="0.25">
      <c r="AE1007449" s="34"/>
      <c r="AF1007449" s="34"/>
    </row>
    <row r="1007457" spans="31:32" x14ac:dyDescent="0.25">
      <c r="AE1007457" s="36"/>
      <c r="AF1007457" s="36"/>
    </row>
    <row r="1007553" spans="31:32" x14ac:dyDescent="0.25">
      <c r="AE1007553" s="34"/>
      <c r="AF1007553" s="34"/>
    </row>
    <row r="1007561" spans="31:32" x14ac:dyDescent="0.25">
      <c r="AE1007561" s="36"/>
      <c r="AF1007561" s="36"/>
    </row>
    <row r="1007657" spans="31:32" x14ac:dyDescent="0.25">
      <c r="AE1007657" s="34"/>
      <c r="AF1007657" s="34"/>
    </row>
    <row r="1007665" spans="31:32" x14ac:dyDescent="0.25">
      <c r="AE1007665" s="36"/>
      <c r="AF1007665" s="36"/>
    </row>
    <row r="1007761" spans="31:32" x14ac:dyDescent="0.25">
      <c r="AE1007761" s="34"/>
      <c r="AF1007761" s="34"/>
    </row>
    <row r="1007769" spans="31:32" x14ac:dyDescent="0.25">
      <c r="AE1007769" s="36"/>
      <c r="AF1007769" s="36"/>
    </row>
    <row r="1007865" spans="31:32" x14ac:dyDescent="0.25">
      <c r="AE1007865" s="34"/>
      <c r="AF1007865" s="34"/>
    </row>
    <row r="1007873" spans="31:32" x14ac:dyDescent="0.25">
      <c r="AE1007873" s="36"/>
      <c r="AF1007873" s="36"/>
    </row>
    <row r="1007969" spans="31:32" x14ac:dyDescent="0.25">
      <c r="AE1007969" s="34"/>
      <c r="AF1007969" s="34"/>
    </row>
    <row r="1007977" spans="31:32" x14ac:dyDescent="0.25">
      <c r="AE1007977" s="36"/>
      <c r="AF1007977" s="36"/>
    </row>
    <row r="1008073" spans="31:32" x14ac:dyDescent="0.25">
      <c r="AE1008073" s="34"/>
      <c r="AF1008073" s="34"/>
    </row>
    <row r="1008081" spans="31:32" x14ac:dyDescent="0.25">
      <c r="AE1008081" s="36"/>
      <c r="AF1008081" s="36"/>
    </row>
    <row r="1008177" spans="31:32" x14ac:dyDescent="0.25">
      <c r="AE1008177" s="34"/>
      <c r="AF1008177" s="34"/>
    </row>
    <row r="1008185" spans="31:32" x14ac:dyDescent="0.25">
      <c r="AE1008185" s="36"/>
      <c r="AF1008185" s="36"/>
    </row>
    <row r="1008281" spans="31:32" x14ac:dyDescent="0.25">
      <c r="AE1008281" s="34"/>
      <c r="AF1008281" s="34"/>
    </row>
    <row r="1008289" spans="31:32" x14ac:dyDescent="0.25">
      <c r="AE1008289" s="36"/>
      <c r="AF1008289" s="36"/>
    </row>
    <row r="1008385" spans="31:32" x14ac:dyDescent="0.25">
      <c r="AE1008385" s="34"/>
      <c r="AF1008385" s="34"/>
    </row>
    <row r="1008393" spans="31:32" x14ac:dyDescent="0.25">
      <c r="AE1008393" s="36"/>
      <c r="AF1008393" s="36"/>
    </row>
    <row r="1008489" spans="31:32" x14ac:dyDescent="0.25">
      <c r="AE1008489" s="34"/>
      <c r="AF1008489" s="34"/>
    </row>
    <row r="1008497" spans="31:32" x14ac:dyDescent="0.25">
      <c r="AE1008497" s="36"/>
      <c r="AF1008497" s="36"/>
    </row>
    <row r="1008593" spans="31:32" x14ac:dyDescent="0.25">
      <c r="AE1008593" s="34"/>
      <c r="AF1008593" s="34"/>
    </row>
    <row r="1008601" spans="31:32" x14ac:dyDescent="0.25">
      <c r="AE1008601" s="36"/>
      <c r="AF1008601" s="36"/>
    </row>
    <row r="1008697" spans="31:32" x14ac:dyDescent="0.25">
      <c r="AE1008697" s="34"/>
      <c r="AF1008697" s="34"/>
    </row>
    <row r="1008705" spans="31:32" x14ac:dyDescent="0.25">
      <c r="AE1008705" s="36"/>
      <c r="AF1008705" s="36"/>
    </row>
    <row r="1008801" spans="31:32" x14ac:dyDescent="0.25">
      <c r="AE1008801" s="34"/>
      <c r="AF1008801" s="34"/>
    </row>
    <row r="1008809" spans="31:32" x14ac:dyDescent="0.25">
      <c r="AE1008809" s="36"/>
      <c r="AF1008809" s="36"/>
    </row>
    <row r="1008905" spans="31:32" x14ac:dyDescent="0.25">
      <c r="AE1008905" s="34"/>
      <c r="AF1008905" s="34"/>
    </row>
    <row r="1008913" spans="31:32" x14ac:dyDescent="0.25">
      <c r="AE1008913" s="36"/>
      <c r="AF1008913" s="36"/>
    </row>
    <row r="1009009" spans="31:32" x14ac:dyDescent="0.25">
      <c r="AE1009009" s="34"/>
      <c r="AF1009009" s="34"/>
    </row>
    <row r="1009017" spans="31:32" x14ac:dyDescent="0.25">
      <c r="AE1009017" s="36"/>
      <c r="AF1009017" s="36"/>
    </row>
    <row r="1009113" spans="31:32" x14ac:dyDescent="0.25">
      <c r="AE1009113" s="34"/>
      <c r="AF1009113" s="34"/>
    </row>
    <row r="1009121" spans="31:32" x14ac:dyDescent="0.25">
      <c r="AE1009121" s="36"/>
      <c r="AF1009121" s="36"/>
    </row>
    <row r="1009217" spans="31:32" x14ac:dyDescent="0.25">
      <c r="AE1009217" s="34"/>
      <c r="AF1009217" s="34"/>
    </row>
    <row r="1009225" spans="31:32" x14ac:dyDescent="0.25">
      <c r="AE1009225" s="36"/>
      <c r="AF1009225" s="36"/>
    </row>
    <row r="1009321" spans="31:32" x14ac:dyDescent="0.25">
      <c r="AE1009321" s="34"/>
      <c r="AF1009321" s="34"/>
    </row>
    <row r="1009329" spans="31:32" x14ac:dyDescent="0.25">
      <c r="AE1009329" s="36"/>
      <c r="AF1009329" s="36"/>
    </row>
    <row r="1009425" spans="31:32" x14ac:dyDescent="0.25">
      <c r="AE1009425" s="34"/>
      <c r="AF1009425" s="34"/>
    </row>
    <row r="1009433" spans="31:32" x14ac:dyDescent="0.25">
      <c r="AE1009433" s="36"/>
      <c r="AF1009433" s="36"/>
    </row>
    <row r="1009529" spans="31:32" x14ac:dyDescent="0.25">
      <c r="AE1009529" s="34"/>
      <c r="AF1009529" s="34"/>
    </row>
    <row r="1009537" spans="31:32" x14ac:dyDescent="0.25">
      <c r="AE1009537" s="36"/>
      <c r="AF1009537" s="36"/>
    </row>
    <row r="1009633" spans="31:32" x14ac:dyDescent="0.25">
      <c r="AE1009633" s="34"/>
      <c r="AF1009633" s="34"/>
    </row>
    <row r="1009641" spans="31:32" x14ac:dyDescent="0.25">
      <c r="AE1009641" s="36"/>
      <c r="AF1009641" s="36"/>
    </row>
    <row r="1009737" spans="31:32" x14ac:dyDescent="0.25">
      <c r="AE1009737" s="34"/>
      <c r="AF1009737" s="34"/>
    </row>
    <row r="1009745" spans="31:32" x14ac:dyDescent="0.25">
      <c r="AE1009745" s="36"/>
      <c r="AF1009745" s="36"/>
    </row>
    <row r="1009841" spans="31:32" x14ac:dyDescent="0.25">
      <c r="AE1009841" s="34"/>
      <c r="AF1009841" s="34"/>
    </row>
    <row r="1009849" spans="31:32" x14ac:dyDescent="0.25">
      <c r="AE1009849" s="36"/>
      <c r="AF1009849" s="36"/>
    </row>
    <row r="1009945" spans="31:32" x14ac:dyDescent="0.25">
      <c r="AE1009945" s="34"/>
      <c r="AF1009945" s="34"/>
    </row>
    <row r="1009953" spans="31:32" x14ac:dyDescent="0.25">
      <c r="AE1009953" s="36"/>
      <c r="AF1009953" s="36"/>
    </row>
    <row r="1010049" spans="31:32" x14ac:dyDescent="0.25">
      <c r="AE1010049" s="34"/>
      <c r="AF1010049" s="34"/>
    </row>
    <row r="1010057" spans="31:32" x14ac:dyDescent="0.25">
      <c r="AE1010057" s="36"/>
      <c r="AF1010057" s="36"/>
    </row>
    <row r="1010153" spans="31:32" x14ac:dyDescent="0.25">
      <c r="AE1010153" s="34"/>
      <c r="AF1010153" s="34"/>
    </row>
    <row r="1010161" spans="31:32" x14ac:dyDescent="0.25">
      <c r="AE1010161" s="36"/>
      <c r="AF1010161" s="36"/>
    </row>
    <row r="1010257" spans="31:32" x14ac:dyDescent="0.25">
      <c r="AE1010257" s="34"/>
      <c r="AF1010257" s="34"/>
    </row>
    <row r="1010265" spans="31:32" x14ac:dyDescent="0.25">
      <c r="AE1010265" s="36"/>
      <c r="AF1010265" s="36"/>
    </row>
    <row r="1010361" spans="31:32" x14ac:dyDescent="0.25">
      <c r="AE1010361" s="34"/>
      <c r="AF1010361" s="34"/>
    </row>
    <row r="1010369" spans="31:32" x14ac:dyDescent="0.25">
      <c r="AE1010369" s="36"/>
      <c r="AF1010369" s="36"/>
    </row>
    <row r="1010465" spans="31:32" x14ac:dyDescent="0.25">
      <c r="AE1010465" s="34"/>
      <c r="AF1010465" s="34"/>
    </row>
    <row r="1010473" spans="31:32" x14ac:dyDescent="0.25">
      <c r="AE1010473" s="36"/>
      <c r="AF1010473" s="36"/>
    </row>
    <row r="1010569" spans="31:32" x14ac:dyDescent="0.25">
      <c r="AE1010569" s="34"/>
      <c r="AF1010569" s="34"/>
    </row>
    <row r="1010577" spans="31:32" x14ac:dyDescent="0.25">
      <c r="AE1010577" s="36"/>
      <c r="AF1010577" s="36"/>
    </row>
    <row r="1010673" spans="31:32" x14ac:dyDescent="0.25">
      <c r="AE1010673" s="34"/>
      <c r="AF1010673" s="34"/>
    </row>
    <row r="1010681" spans="31:32" x14ac:dyDescent="0.25">
      <c r="AE1010681" s="36"/>
      <c r="AF1010681" s="36"/>
    </row>
    <row r="1010777" spans="31:32" x14ac:dyDescent="0.25">
      <c r="AE1010777" s="34"/>
      <c r="AF1010777" s="34"/>
    </row>
    <row r="1010785" spans="31:32" x14ac:dyDescent="0.25">
      <c r="AE1010785" s="36"/>
      <c r="AF1010785" s="36"/>
    </row>
    <row r="1010881" spans="31:32" x14ac:dyDescent="0.25">
      <c r="AE1010881" s="34"/>
      <c r="AF1010881" s="34"/>
    </row>
    <row r="1010889" spans="31:32" x14ac:dyDescent="0.25">
      <c r="AE1010889" s="36"/>
      <c r="AF1010889" s="36"/>
    </row>
    <row r="1010985" spans="31:32" x14ac:dyDescent="0.25">
      <c r="AE1010985" s="34"/>
      <c r="AF1010985" s="34"/>
    </row>
    <row r="1010993" spans="31:32" x14ac:dyDescent="0.25">
      <c r="AE1010993" s="36"/>
      <c r="AF1010993" s="36"/>
    </row>
    <row r="1011089" spans="31:32" x14ac:dyDescent="0.25">
      <c r="AE1011089" s="34"/>
      <c r="AF1011089" s="34"/>
    </row>
    <row r="1011097" spans="31:32" x14ac:dyDescent="0.25">
      <c r="AE1011097" s="36"/>
      <c r="AF1011097" s="36"/>
    </row>
    <row r="1011193" spans="31:32" x14ac:dyDescent="0.25">
      <c r="AE1011193" s="34"/>
      <c r="AF1011193" s="34"/>
    </row>
    <row r="1011201" spans="31:32" x14ac:dyDescent="0.25">
      <c r="AE1011201" s="36"/>
      <c r="AF1011201" s="36"/>
    </row>
    <row r="1011297" spans="31:32" x14ac:dyDescent="0.25">
      <c r="AE1011297" s="34"/>
      <c r="AF1011297" s="34"/>
    </row>
    <row r="1011305" spans="31:32" x14ac:dyDescent="0.25">
      <c r="AE1011305" s="36"/>
      <c r="AF1011305" s="36"/>
    </row>
    <row r="1011401" spans="31:32" x14ac:dyDescent="0.25">
      <c r="AE1011401" s="34"/>
      <c r="AF1011401" s="34"/>
    </row>
    <row r="1011409" spans="31:32" x14ac:dyDescent="0.25">
      <c r="AE1011409" s="36"/>
      <c r="AF1011409" s="36"/>
    </row>
    <row r="1011505" spans="31:32" x14ac:dyDescent="0.25">
      <c r="AE1011505" s="34"/>
      <c r="AF1011505" s="34"/>
    </row>
    <row r="1011513" spans="31:32" x14ac:dyDescent="0.25">
      <c r="AE1011513" s="36"/>
      <c r="AF1011513" s="36"/>
    </row>
    <row r="1011609" spans="31:32" x14ac:dyDescent="0.25">
      <c r="AE1011609" s="34"/>
      <c r="AF1011609" s="34"/>
    </row>
    <row r="1011617" spans="31:32" x14ac:dyDescent="0.25">
      <c r="AE1011617" s="36"/>
      <c r="AF1011617" s="36"/>
    </row>
    <row r="1011713" spans="31:32" x14ac:dyDescent="0.25">
      <c r="AE1011713" s="34"/>
      <c r="AF1011713" s="34"/>
    </row>
    <row r="1011721" spans="31:32" x14ac:dyDescent="0.25">
      <c r="AE1011721" s="36"/>
      <c r="AF1011721" s="36"/>
    </row>
    <row r="1011817" spans="31:32" x14ac:dyDescent="0.25">
      <c r="AE1011817" s="34"/>
      <c r="AF1011817" s="34"/>
    </row>
    <row r="1011825" spans="31:32" x14ac:dyDescent="0.25">
      <c r="AE1011825" s="36"/>
      <c r="AF1011825" s="36"/>
    </row>
    <row r="1011921" spans="31:32" x14ac:dyDescent="0.25">
      <c r="AE1011921" s="34"/>
      <c r="AF1011921" s="34"/>
    </row>
    <row r="1011929" spans="31:32" x14ac:dyDescent="0.25">
      <c r="AE1011929" s="36"/>
      <c r="AF1011929" s="36"/>
    </row>
    <row r="1012025" spans="31:32" x14ac:dyDescent="0.25">
      <c r="AE1012025" s="34"/>
      <c r="AF1012025" s="34"/>
    </row>
    <row r="1012033" spans="31:32" x14ac:dyDescent="0.25">
      <c r="AE1012033" s="36"/>
      <c r="AF1012033" s="36"/>
    </row>
    <row r="1012129" spans="31:32" x14ac:dyDescent="0.25">
      <c r="AE1012129" s="34"/>
      <c r="AF1012129" s="34"/>
    </row>
    <row r="1012137" spans="31:32" x14ac:dyDescent="0.25">
      <c r="AE1012137" s="36"/>
      <c r="AF1012137" s="36"/>
    </row>
    <row r="1012233" spans="31:32" x14ac:dyDescent="0.25">
      <c r="AE1012233" s="34"/>
      <c r="AF1012233" s="34"/>
    </row>
    <row r="1012241" spans="31:32" x14ac:dyDescent="0.25">
      <c r="AE1012241" s="36"/>
      <c r="AF1012241" s="36"/>
    </row>
    <row r="1012337" spans="31:32" x14ac:dyDescent="0.25">
      <c r="AE1012337" s="34"/>
      <c r="AF1012337" s="34"/>
    </row>
    <row r="1012345" spans="31:32" x14ac:dyDescent="0.25">
      <c r="AE1012345" s="36"/>
      <c r="AF1012345" s="36"/>
    </row>
    <row r="1012441" spans="31:32" x14ac:dyDescent="0.25">
      <c r="AE1012441" s="34"/>
      <c r="AF1012441" s="34"/>
    </row>
    <row r="1012449" spans="31:32" x14ac:dyDescent="0.25">
      <c r="AE1012449" s="36"/>
      <c r="AF1012449" s="36"/>
    </row>
    <row r="1012545" spans="31:32" x14ac:dyDescent="0.25">
      <c r="AE1012545" s="34"/>
      <c r="AF1012545" s="34"/>
    </row>
    <row r="1012553" spans="31:32" x14ac:dyDescent="0.25">
      <c r="AE1012553" s="36"/>
      <c r="AF1012553" s="36"/>
    </row>
    <row r="1012649" spans="31:32" x14ac:dyDescent="0.25">
      <c r="AE1012649" s="34"/>
      <c r="AF1012649" s="34"/>
    </row>
    <row r="1012657" spans="31:32" x14ac:dyDescent="0.25">
      <c r="AE1012657" s="36"/>
      <c r="AF1012657" s="36"/>
    </row>
    <row r="1012753" spans="31:32" x14ac:dyDescent="0.25">
      <c r="AE1012753" s="34"/>
      <c r="AF1012753" s="34"/>
    </row>
    <row r="1012761" spans="31:32" x14ac:dyDescent="0.25">
      <c r="AE1012761" s="36"/>
      <c r="AF1012761" s="36"/>
    </row>
    <row r="1012857" spans="31:32" x14ac:dyDescent="0.25">
      <c r="AE1012857" s="34"/>
      <c r="AF1012857" s="34"/>
    </row>
    <row r="1012865" spans="31:32" x14ac:dyDescent="0.25">
      <c r="AE1012865" s="36"/>
      <c r="AF1012865" s="36"/>
    </row>
    <row r="1012961" spans="31:32" x14ac:dyDescent="0.25">
      <c r="AE1012961" s="34"/>
      <c r="AF1012961" s="34"/>
    </row>
    <row r="1012969" spans="31:32" x14ac:dyDescent="0.25">
      <c r="AE1012969" s="36"/>
      <c r="AF1012969" s="36"/>
    </row>
    <row r="1013065" spans="31:32" x14ac:dyDescent="0.25">
      <c r="AE1013065" s="34"/>
      <c r="AF1013065" s="34"/>
    </row>
    <row r="1013073" spans="31:32" x14ac:dyDescent="0.25">
      <c r="AE1013073" s="36"/>
      <c r="AF1013073" s="36"/>
    </row>
    <row r="1013169" spans="31:32" x14ac:dyDescent="0.25">
      <c r="AE1013169" s="34"/>
      <c r="AF1013169" s="34"/>
    </row>
    <row r="1013177" spans="31:32" x14ac:dyDescent="0.25">
      <c r="AE1013177" s="36"/>
      <c r="AF1013177" s="36"/>
    </row>
    <row r="1013273" spans="31:32" x14ac:dyDescent="0.25">
      <c r="AE1013273" s="34"/>
      <c r="AF1013273" s="34"/>
    </row>
    <row r="1013281" spans="31:32" x14ac:dyDescent="0.25">
      <c r="AE1013281" s="36"/>
      <c r="AF1013281" s="36"/>
    </row>
    <row r="1013377" spans="31:32" x14ac:dyDescent="0.25">
      <c r="AE1013377" s="34"/>
      <c r="AF1013377" s="34"/>
    </row>
    <row r="1013385" spans="31:32" x14ac:dyDescent="0.25">
      <c r="AE1013385" s="36"/>
      <c r="AF1013385" s="36"/>
    </row>
    <row r="1013481" spans="31:32" x14ac:dyDescent="0.25">
      <c r="AE1013481" s="34"/>
      <c r="AF1013481" s="34"/>
    </row>
    <row r="1013489" spans="31:32" x14ac:dyDescent="0.25">
      <c r="AE1013489" s="36"/>
      <c r="AF1013489" s="36"/>
    </row>
    <row r="1013585" spans="31:32" x14ac:dyDescent="0.25">
      <c r="AE1013585" s="34"/>
      <c r="AF1013585" s="34"/>
    </row>
    <row r="1013593" spans="31:32" x14ac:dyDescent="0.25">
      <c r="AE1013593" s="36"/>
      <c r="AF1013593" s="36"/>
    </row>
    <row r="1013689" spans="31:32" x14ac:dyDescent="0.25">
      <c r="AE1013689" s="34"/>
      <c r="AF1013689" s="34"/>
    </row>
    <row r="1013697" spans="31:32" x14ac:dyDescent="0.25">
      <c r="AE1013697" s="36"/>
      <c r="AF1013697" s="36"/>
    </row>
    <row r="1013793" spans="31:32" x14ac:dyDescent="0.25">
      <c r="AE1013793" s="34"/>
      <c r="AF1013793" s="34"/>
    </row>
    <row r="1013801" spans="31:32" x14ac:dyDescent="0.25">
      <c r="AE1013801" s="36"/>
      <c r="AF1013801" s="36"/>
    </row>
    <row r="1013897" spans="31:32" x14ac:dyDescent="0.25">
      <c r="AE1013897" s="34"/>
      <c r="AF1013897" s="34"/>
    </row>
    <row r="1013905" spans="31:32" x14ac:dyDescent="0.25">
      <c r="AE1013905" s="36"/>
      <c r="AF1013905" s="36"/>
    </row>
    <row r="1014001" spans="31:32" x14ac:dyDescent="0.25">
      <c r="AE1014001" s="34"/>
      <c r="AF1014001" s="34"/>
    </row>
    <row r="1014009" spans="31:32" x14ac:dyDescent="0.25">
      <c r="AE1014009" s="36"/>
      <c r="AF1014009" s="36"/>
    </row>
    <row r="1014105" spans="31:32" x14ac:dyDescent="0.25">
      <c r="AE1014105" s="34"/>
      <c r="AF1014105" s="34"/>
    </row>
    <row r="1014113" spans="31:32" x14ac:dyDescent="0.25">
      <c r="AE1014113" s="36"/>
      <c r="AF1014113" s="36"/>
    </row>
    <row r="1014209" spans="31:32" x14ac:dyDescent="0.25">
      <c r="AE1014209" s="34"/>
      <c r="AF1014209" s="34"/>
    </row>
    <row r="1014217" spans="31:32" x14ac:dyDescent="0.25">
      <c r="AE1014217" s="36"/>
      <c r="AF1014217" s="36"/>
    </row>
    <row r="1014313" spans="31:32" x14ac:dyDescent="0.25">
      <c r="AE1014313" s="34"/>
      <c r="AF1014313" s="34"/>
    </row>
    <row r="1014321" spans="31:32" x14ac:dyDescent="0.25">
      <c r="AE1014321" s="36"/>
      <c r="AF1014321" s="36"/>
    </row>
    <row r="1014417" spans="31:32" x14ac:dyDescent="0.25">
      <c r="AE1014417" s="34"/>
      <c r="AF1014417" s="34"/>
    </row>
    <row r="1014425" spans="31:32" x14ac:dyDescent="0.25">
      <c r="AE1014425" s="36"/>
      <c r="AF1014425" s="36"/>
    </row>
    <row r="1014521" spans="31:32" x14ac:dyDescent="0.25">
      <c r="AE1014521" s="34"/>
      <c r="AF1014521" s="34"/>
    </row>
    <row r="1014529" spans="31:32" x14ac:dyDescent="0.25">
      <c r="AE1014529" s="36"/>
      <c r="AF1014529" s="36"/>
    </row>
    <row r="1014625" spans="31:32" x14ac:dyDescent="0.25">
      <c r="AE1014625" s="34"/>
      <c r="AF1014625" s="34"/>
    </row>
    <row r="1014633" spans="31:32" x14ac:dyDescent="0.25">
      <c r="AE1014633" s="36"/>
      <c r="AF1014633" s="36"/>
    </row>
    <row r="1014729" spans="31:32" x14ac:dyDescent="0.25">
      <c r="AE1014729" s="34"/>
      <c r="AF1014729" s="34"/>
    </row>
    <row r="1014737" spans="31:32" x14ac:dyDescent="0.25">
      <c r="AE1014737" s="36"/>
      <c r="AF1014737" s="36"/>
    </row>
    <row r="1014833" spans="31:32" x14ac:dyDescent="0.25">
      <c r="AE1014833" s="34"/>
      <c r="AF1014833" s="34"/>
    </row>
    <row r="1014841" spans="31:32" x14ac:dyDescent="0.25">
      <c r="AE1014841" s="36"/>
      <c r="AF1014841" s="36"/>
    </row>
    <row r="1014937" spans="31:32" x14ac:dyDescent="0.25">
      <c r="AE1014937" s="34"/>
      <c r="AF1014937" s="34"/>
    </row>
    <row r="1014945" spans="31:32" x14ac:dyDescent="0.25">
      <c r="AE1014945" s="36"/>
      <c r="AF1014945" s="36"/>
    </row>
    <row r="1015041" spans="31:32" x14ac:dyDescent="0.25">
      <c r="AE1015041" s="34"/>
      <c r="AF1015041" s="34"/>
    </row>
    <row r="1015049" spans="31:32" x14ac:dyDescent="0.25">
      <c r="AE1015049" s="36"/>
      <c r="AF1015049" s="36"/>
    </row>
    <row r="1015145" spans="31:32" x14ac:dyDescent="0.25">
      <c r="AE1015145" s="34"/>
      <c r="AF1015145" s="34"/>
    </row>
    <row r="1015153" spans="31:32" x14ac:dyDescent="0.25">
      <c r="AE1015153" s="36"/>
      <c r="AF1015153" s="36"/>
    </row>
    <row r="1015249" spans="31:32" x14ac:dyDescent="0.25">
      <c r="AE1015249" s="34"/>
      <c r="AF1015249" s="34"/>
    </row>
    <row r="1015257" spans="31:32" x14ac:dyDescent="0.25">
      <c r="AE1015257" s="36"/>
      <c r="AF1015257" s="36"/>
    </row>
    <row r="1015353" spans="31:32" x14ac:dyDescent="0.25">
      <c r="AE1015353" s="34"/>
      <c r="AF1015353" s="34"/>
    </row>
    <row r="1015361" spans="31:32" x14ac:dyDescent="0.25">
      <c r="AE1015361" s="36"/>
      <c r="AF1015361" s="36"/>
    </row>
    <row r="1015457" spans="31:32" x14ac:dyDescent="0.25">
      <c r="AE1015457" s="34"/>
      <c r="AF1015457" s="34"/>
    </row>
    <row r="1015465" spans="31:32" x14ac:dyDescent="0.25">
      <c r="AE1015465" s="36"/>
      <c r="AF1015465" s="36"/>
    </row>
    <row r="1015561" spans="31:32" x14ac:dyDescent="0.25">
      <c r="AE1015561" s="34"/>
      <c r="AF1015561" s="34"/>
    </row>
    <row r="1015569" spans="31:32" x14ac:dyDescent="0.25">
      <c r="AE1015569" s="36"/>
      <c r="AF1015569" s="36"/>
    </row>
    <row r="1015665" spans="31:32" x14ac:dyDescent="0.25">
      <c r="AE1015665" s="34"/>
      <c r="AF1015665" s="34"/>
    </row>
    <row r="1015673" spans="31:32" x14ac:dyDescent="0.25">
      <c r="AE1015673" s="36"/>
      <c r="AF1015673" s="36"/>
    </row>
    <row r="1015769" spans="31:32" x14ac:dyDescent="0.25">
      <c r="AE1015769" s="34"/>
      <c r="AF1015769" s="34"/>
    </row>
    <row r="1015777" spans="31:32" x14ac:dyDescent="0.25">
      <c r="AE1015777" s="36"/>
      <c r="AF1015777" s="36"/>
    </row>
    <row r="1015873" spans="31:32" x14ac:dyDescent="0.25">
      <c r="AE1015873" s="34"/>
      <c r="AF1015873" s="34"/>
    </row>
    <row r="1015881" spans="31:32" x14ac:dyDescent="0.25">
      <c r="AE1015881" s="36"/>
      <c r="AF1015881" s="36"/>
    </row>
    <row r="1015977" spans="31:32" x14ac:dyDescent="0.25">
      <c r="AE1015977" s="34"/>
      <c r="AF1015977" s="34"/>
    </row>
    <row r="1015985" spans="31:32" x14ac:dyDescent="0.25">
      <c r="AE1015985" s="36"/>
      <c r="AF1015985" s="36"/>
    </row>
    <row r="1016081" spans="31:32" x14ac:dyDescent="0.25">
      <c r="AE1016081" s="34"/>
      <c r="AF1016081" s="34"/>
    </row>
    <row r="1016089" spans="31:32" x14ac:dyDescent="0.25">
      <c r="AE1016089" s="36"/>
      <c r="AF1016089" s="36"/>
    </row>
    <row r="1016185" spans="31:32" x14ac:dyDescent="0.25">
      <c r="AE1016185" s="34"/>
      <c r="AF1016185" s="34"/>
    </row>
    <row r="1016193" spans="31:32" x14ac:dyDescent="0.25">
      <c r="AE1016193" s="36"/>
      <c r="AF1016193" s="36"/>
    </row>
    <row r="1016289" spans="31:32" x14ac:dyDescent="0.25">
      <c r="AE1016289" s="34"/>
      <c r="AF1016289" s="34"/>
    </row>
    <row r="1016297" spans="31:32" x14ac:dyDescent="0.25">
      <c r="AE1016297" s="36"/>
      <c r="AF1016297" s="36"/>
    </row>
    <row r="1016393" spans="31:32" x14ac:dyDescent="0.25">
      <c r="AE1016393" s="34"/>
      <c r="AF1016393" s="34"/>
    </row>
    <row r="1016401" spans="31:32" x14ac:dyDescent="0.25">
      <c r="AE1016401" s="36"/>
      <c r="AF1016401" s="36"/>
    </row>
    <row r="1016497" spans="31:32" x14ac:dyDescent="0.25">
      <c r="AE1016497" s="34"/>
      <c r="AF1016497" s="34"/>
    </row>
    <row r="1016505" spans="31:32" x14ac:dyDescent="0.25">
      <c r="AE1016505" s="36"/>
      <c r="AF1016505" s="36"/>
    </row>
    <row r="1016601" spans="31:32" x14ac:dyDescent="0.25">
      <c r="AE1016601" s="34"/>
      <c r="AF1016601" s="34"/>
    </row>
    <row r="1016609" spans="31:32" x14ac:dyDescent="0.25">
      <c r="AE1016609" s="36"/>
      <c r="AF1016609" s="36"/>
    </row>
    <row r="1016705" spans="31:32" x14ac:dyDescent="0.25">
      <c r="AE1016705" s="34"/>
      <c r="AF1016705" s="34"/>
    </row>
    <row r="1016713" spans="31:32" x14ac:dyDescent="0.25">
      <c r="AE1016713" s="36"/>
      <c r="AF1016713" s="36"/>
    </row>
    <row r="1016809" spans="31:32" x14ac:dyDescent="0.25">
      <c r="AE1016809" s="34"/>
      <c r="AF1016809" s="34"/>
    </row>
    <row r="1016817" spans="31:32" x14ac:dyDescent="0.25">
      <c r="AE1016817" s="36"/>
      <c r="AF1016817" s="36"/>
    </row>
    <row r="1016913" spans="31:32" x14ac:dyDescent="0.25">
      <c r="AE1016913" s="34"/>
      <c r="AF1016913" s="34"/>
    </row>
    <row r="1016921" spans="31:32" x14ac:dyDescent="0.25">
      <c r="AE1016921" s="36"/>
      <c r="AF1016921" s="36"/>
    </row>
    <row r="1017017" spans="31:32" x14ac:dyDescent="0.25">
      <c r="AE1017017" s="34"/>
      <c r="AF1017017" s="34"/>
    </row>
    <row r="1017025" spans="31:32" x14ac:dyDescent="0.25">
      <c r="AE1017025" s="36"/>
      <c r="AF1017025" s="36"/>
    </row>
    <row r="1017121" spans="31:32" x14ac:dyDescent="0.25">
      <c r="AE1017121" s="34"/>
      <c r="AF1017121" s="34"/>
    </row>
    <row r="1017129" spans="31:32" x14ac:dyDescent="0.25">
      <c r="AE1017129" s="36"/>
      <c r="AF1017129" s="36"/>
    </row>
    <row r="1017225" spans="31:32" x14ac:dyDescent="0.25">
      <c r="AE1017225" s="34"/>
      <c r="AF1017225" s="34"/>
    </row>
    <row r="1017233" spans="31:32" x14ac:dyDescent="0.25">
      <c r="AE1017233" s="36"/>
      <c r="AF1017233" s="36"/>
    </row>
    <row r="1017329" spans="31:32" x14ac:dyDescent="0.25">
      <c r="AE1017329" s="34"/>
      <c r="AF1017329" s="34"/>
    </row>
    <row r="1017337" spans="31:32" x14ac:dyDescent="0.25">
      <c r="AE1017337" s="36"/>
      <c r="AF1017337" s="36"/>
    </row>
    <row r="1017433" spans="31:32" x14ac:dyDescent="0.25">
      <c r="AE1017433" s="34"/>
      <c r="AF1017433" s="34"/>
    </row>
    <row r="1017441" spans="31:32" x14ac:dyDescent="0.25">
      <c r="AE1017441" s="36"/>
      <c r="AF1017441" s="36"/>
    </row>
    <row r="1017537" spans="31:32" x14ac:dyDescent="0.25">
      <c r="AE1017537" s="34"/>
      <c r="AF1017537" s="34"/>
    </row>
    <row r="1017545" spans="31:32" x14ac:dyDescent="0.25">
      <c r="AE1017545" s="36"/>
      <c r="AF1017545" s="36"/>
    </row>
    <row r="1017641" spans="31:32" x14ac:dyDescent="0.25">
      <c r="AE1017641" s="34"/>
      <c r="AF1017641" s="34"/>
    </row>
    <row r="1017649" spans="31:32" x14ac:dyDescent="0.25">
      <c r="AE1017649" s="36"/>
      <c r="AF1017649" s="36"/>
    </row>
    <row r="1017745" spans="31:32" x14ac:dyDescent="0.25">
      <c r="AE1017745" s="34"/>
      <c r="AF1017745" s="34"/>
    </row>
    <row r="1017753" spans="31:32" x14ac:dyDescent="0.25">
      <c r="AE1017753" s="36"/>
      <c r="AF1017753" s="36"/>
    </row>
    <row r="1017849" spans="31:32" x14ac:dyDescent="0.25">
      <c r="AE1017849" s="34"/>
      <c r="AF1017849" s="34"/>
    </row>
    <row r="1017857" spans="31:32" x14ac:dyDescent="0.25">
      <c r="AE1017857" s="36"/>
      <c r="AF1017857" s="36"/>
    </row>
    <row r="1017953" spans="31:32" x14ac:dyDescent="0.25">
      <c r="AE1017953" s="34"/>
      <c r="AF1017953" s="34"/>
    </row>
    <row r="1017961" spans="31:32" x14ac:dyDescent="0.25">
      <c r="AE1017961" s="36"/>
      <c r="AF1017961" s="36"/>
    </row>
    <row r="1018057" spans="31:32" x14ac:dyDescent="0.25">
      <c r="AE1018057" s="34"/>
      <c r="AF1018057" s="34"/>
    </row>
    <row r="1018065" spans="31:32" x14ac:dyDescent="0.25">
      <c r="AE1018065" s="36"/>
      <c r="AF1018065" s="36"/>
    </row>
    <row r="1018161" spans="31:32" x14ac:dyDescent="0.25">
      <c r="AE1018161" s="34"/>
      <c r="AF1018161" s="34"/>
    </row>
    <row r="1018169" spans="31:32" x14ac:dyDescent="0.25">
      <c r="AE1018169" s="36"/>
      <c r="AF1018169" s="36"/>
    </row>
    <row r="1018265" spans="31:32" x14ac:dyDescent="0.25">
      <c r="AE1018265" s="34"/>
      <c r="AF1018265" s="34"/>
    </row>
    <row r="1018273" spans="31:32" x14ac:dyDescent="0.25">
      <c r="AE1018273" s="36"/>
      <c r="AF1018273" s="36"/>
    </row>
    <row r="1018369" spans="31:32" x14ac:dyDescent="0.25">
      <c r="AE1018369" s="34"/>
      <c r="AF1018369" s="34"/>
    </row>
    <row r="1018377" spans="31:32" x14ac:dyDescent="0.25">
      <c r="AE1018377" s="36"/>
      <c r="AF1018377" s="36"/>
    </row>
    <row r="1018473" spans="31:32" x14ac:dyDescent="0.25">
      <c r="AE1018473" s="34"/>
      <c r="AF1018473" s="34"/>
    </row>
    <row r="1018481" spans="31:32" x14ac:dyDescent="0.25">
      <c r="AE1018481" s="36"/>
      <c r="AF1018481" s="36"/>
    </row>
    <row r="1018577" spans="31:32" x14ac:dyDescent="0.25">
      <c r="AE1018577" s="34"/>
      <c r="AF1018577" s="34"/>
    </row>
    <row r="1018585" spans="31:32" x14ac:dyDescent="0.25">
      <c r="AE1018585" s="36"/>
      <c r="AF1018585" s="36"/>
    </row>
    <row r="1018681" spans="31:32" x14ac:dyDescent="0.25">
      <c r="AE1018681" s="34"/>
      <c r="AF1018681" s="34"/>
    </row>
    <row r="1018689" spans="31:32" x14ac:dyDescent="0.25">
      <c r="AE1018689" s="36"/>
      <c r="AF1018689" s="36"/>
    </row>
    <row r="1018785" spans="31:32" x14ac:dyDescent="0.25">
      <c r="AE1018785" s="34"/>
      <c r="AF1018785" s="34"/>
    </row>
    <row r="1018793" spans="31:32" x14ac:dyDescent="0.25">
      <c r="AE1018793" s="36"/>
      <c r="AF1018793" s="36"/>
    </row>
    <row r="1018889" spans="31:32" x14ac:dyDescent="0.25">
      <c r="AE1018889" s="34"/>
      <c r="AF1018889" s="34"/>
    </row>
    <row r="1018897" spans="31:32" x14ac:dyDescent="0.25">
      <c r="AE1018897" s="36"/>
      <c r="AF1018897" s="36"/>
    </row>
    <row r="1018993" spans="31:32" x14ac:dyDescent="0.25">
      <c r="AE1018993" s="34"/>
      <c r="AF1018993" s="34"/>
    </row>
    <row r="1019001" spans="31:32" x14ac:dyDescent="0.25">
      <c r="AE1019001" s="36"/>
      <c r="AF1019001" s="36"/>
    </row>
    <row r="1019097" spans="31:32" x14ac:dyDescent="0.25">
      <c r="AE1019097" s="34"/>
      <c r="AF1019097" s="34"/>
    </row>
    <row r="1019105" spans="31:32" x14ac:dyDescent="0.25">
      <c r="AE1019105" s="36"/>
      <c r="AF1019105" s="36"/>
    </row>
    <row r="1019201" spans="31:32" x14ac:dyDescent="0.25">
      <c r="AE1019201" s="34"/>
      <c r="AF1019201" s="34"/>
    </row>
    <row r="1019209" spans="31:32" x14ac:dyDescent="0.25">
      <c r="AE1019209" s="36"/>
      <c r="AF1019209" s="36"/>
    </row>
    <row r="1019305" spans="31:32" x14ac:dyDescent="0.25">
      <c r="AE1019305" s="34"/>
      <c r="AF1019305" s="34"/>
    </row>
    <row r="1019313" spans="31:32" x14ac:dyDescent="0.25">
      <c r="AE1019313" s="36"/>
      <c r="AF1019313" s="36"/>
    </row>
    <row r="1019409" spans="31:32" x14ac:dyDescent="0.25">
      <c r="AE1019409" s="34"/>
      <c r="AF1019409" s="34"/>
    </row>
    <row r="1019417" spans="31:32" x14ac:dyDescent="0.25">
      <c r="AE1019417" s="36"/>
      <c r="AF1019417" s="36"/>
    </row>
    <row r="1019513" spans="31:32" x14ac:dyDescent="0.25">
      <c r="AE1019513" s="34"/>
      <c r="AF1019513" s="34"/>
    </row>
    <row r="1019521" spans="31:32" x14ac:dyDescent="0.25">
      <c r="AE1019521" s="36"/>
      <c r="AF1019521" s="36"/>
    </row>
    <row r="1019617" spans="31:32" x14ac:dyDescent="0.25">
      <c r="AE1019617" s="34"/>
      <c r="AF1019617" s="34"/>
    </row>
    <row r="1019625" spans="31:32" x14ac:dyDescent="0.25">
      <c r="AE1019625" s="36"/>
      <c r="AF1019625" s="36"/>
    </row>
    <row r="1019721" spans="31:32" x14ac:dyDescent="0.25">
      <c r="AE1019721" s="34"/>
      <c r="AF1019721" s="34"/>
    </row>
    <row r="1019729" spans="31:32" x14ac:dyDescent="0.25">
      <c r="AE1019729" s="36"/>
      <c r="AF1019729" s="36"/>
    </row>
    <row r="1019825" spans="31:32" x14ac:dyDescent="0.25">
      <c r="AE1019825" s="34"/>
      <c r="AF1019825" s="34"/>
    </row>
    <row r="1019833" spans="31:32" x14ac:dyDescent="0.25">
      <c r="AE1019833" s="36"/>
      <c r="AF1019833" s="36"/>
    </row>
    <row r="1019929" spans="31:32" x14ac:dyDescent="0.25">
      <c r="AE1019929" s="34"/>
      <c r="AF1019929" s="34"/>
    </row>
    <row r="1019937" spans="31:32" x14ac:dyDescent="0.25">
      <c r="AE1019937" s="36"/>
      <c r="AF1019937" s="36"/>
    </row>
    <row r="1020033" spans="31:32" x14ac:dyDescent="0.25">
      <c r="AE1020033" s="34"/>
      <c r="AF1020033" s="34"/>
    </row>
    <row r="1020041" spans="31:32" x14ac:dyDescent="0.25">
      <c r="AE1020041" s="36"/>
      <c r="AF1020041" s="36"/>
    </row>
    <row r="1020137" spans="31:32" x14ac:dyDescent="0.25">
      <c r="AE1020137" s="34"/>
      <c r="AF1020137" s="34"/>
    </row>
    <row r="1020145" spans="31:32" x14ac:dyDescent="0.25">
      <c r="AE1020145" s="36"/>
      <c r="AF1020145" s="36"/>
    </row>
    <row r="1020241" spans="31:32" x14ac:dyDescent="0.25">
      <c r="AE1020241" s="34"/>
      <c r="AF1020241" s="34"/>
    </row>
    <row r="1020249" spans="31:32" x14ac:dyDescent="0.25">
      <c r="AE1020249" s="36"/>
      <c r="AF1020249" s="36"/>
    </row>
    <row r="1020345" spans="31:32" x14ac:dyDescent="0.25">
      <c r="AE1020345" s="34"/>
      <c r="AF1020345" s="34"/>
    </row>
    <row r="1020353" spans="31:32" x14ac:dyDescent="0.25">
      <c r="AE1020353" s="36"/>
      <c r="AF1020353" s="36"/>
    </row>
    <row r="1020449" spans="31:32" x14ac:dyDescent="0.25">
      <c r="AE1020449" s="34"/>
      <c r="AF1020449" s="34"/>
    </row>
    <row r="1020457" spans="31:32" x14ac:dyDescent="0.25">
      <c r="AE1020457" s="36"/>
      <c r="AF1020457" s="36"/>
    </row>
    <row r="1020553" spans="31:32" x14ac:dyDescent="0.25">
      <c r="AE1020553" s="34"/>
      <c r="AF1020553" s="34"/>
    </row>
    <row r="1020561" spans="31:32" x14ac:dyDescent="0.25">
      <c r="AE1020561" s="36"/>
      <c r="AF1020561" s="36"/>
    </row>
    <row r="1020657" spans="31:32" x14ac:dyDescent="0.25">
      <c r="AE1020657" s="34"/>
      <c r="AF1020657" s="34"/>
    </row>
    <row r="1020665" spans="31:32" x14ac:dyDescent="0.25">
      <c r="AE1020665" s="36"/>
      <c r="AF1020665" s="36"/>
    </row>
    <row r="1020761" spans="31:32" x14ac:dyDescent="0.25">
      <c r="AE1020761" s="34"/>
      <c r="AF1020761" s="34"/>
    </row>
    <row r="1020769" spans="31:32" x14ac:dyDescent="0.25">
      <c r="AE1020769" s="36"/>
      <c r="AF1020769" s="36"/>
    </row>
    <row r="1020865" spans="31:32" x14ac:dyDescent="0.25">
      <c r="AE1020865" s="34"/>
      <c r="AF1020865" s="34"/>
    </row>
    <row r="1020873" spans="31:32" x14ac:dyDescent="0.25">
      <c r="AE1020873" s="36"/>
      <c r="AF1020873" s="36"/>
    </row>
    <row r="1020969" spans="31:32" x14ac:dyDescent="0.25">
      <c r="AE1020969" s="34"/>
      <c r="AF1020969" s="34"/>
    </row>
    <row r="1020977" spans="31:32" x14ac:dyDescent="0.25">
      <c r="AE1020977" s="36"/>
      <c r="AF1020977" s="36"/>
    </row>
    <row r="1021073" spans="31:32" x14ac:dyDescent="0.25">
      <c r="AE1021073" s="34"/>
      <c r="AF1021073" s="34"/>
    </row>
    <row r="1021081" spans="31:32" x14ac:dyDescent="0.25">
      <c r="AE1021081" s="36"/>
      <c r="AF1021081" s="36"/>
    </row>
    <row r="1021177" spans="31:32" x14ac:dyDescent="0.25">
      <c r="AE1021177" s="34"/>
      <c r="AF1021177" s="34"/>
    </row>
    <row r="1021185" spans="31:32" x14ac:dyDescent="0.25">
      <c r="AE1021185" s="36"/>
      <c r="AF1021185" s="36"/>
    </row>
    <row r="1021281" spans="31:32" x14ac:dyDescent="0.25">
      <c r="AE1021281" s="34"/>
      <c r="AF1021281" s="34"/>
    </row>
    <row r="1021289" spans="31:32" x14ac:dyDescent="0.25">
      <c r="AE1021289" s="36"/>
      <c r="AF1021289" s="36"/>
    </row>
    <row r="1021385" spans="31:32" x14ac:dyDescent="0.25">
      <c r="AE1021385" s="34"/>
      <c r="AF1021385" s="34"/>
    </row>
    <row r="1021393" spans="31:32" x14ac:dyDescent="0.25">
      <c r="AE1021393" s="36"/>
      <c r="AF1021393" s="36"/>
    </row>
    <row r="1021489" spans="31:32" x14ac:dyDescent="0.25">
      <c r="AE1021489" s="34"/>
      <c r="AF1021489" s="34"/>
    </row>
    <row r="1021497" spans="31:32" x14ac:dyDescent="0.25">
      <c r="AE1021497" s="36"/>
      <c r="AF1021497" s="36"/>
    </row>
    <row r="1021593" spans="31:32" x14ac:dyDescent="0.25">
      <c r="AE1021593" s="34"/>
      <c r="AF1021593" s="34"/>
    </row>
    <row r="1021601" spans="31:32" x14ac:dyDescent="0.25">
      <c r="AE1021601" s="36"/>
      <c r="AF1021601" s="36"/>
    </row>
    <row r="1021697" spans="31:32" x14ac:dyDescent="0.25">
      <c r="AE1021697" s="34"/>
      <c r="AF1021697" s="34"/>
    </row>
    <row r="1021705" spans="31:32" x14ac:dyDescent="0.25">
      <c r="AE1021705" s="36"/>
      <c r="AF1021705" s="36"/>
    </row>
    <row r="1021801" spans="31:32" x14ac:dyDescent="0.25">
      <c r="AE1021801" s="34"/>
      <c r="AF1021801" s="34"/>
    </row>
    <row r="1021809" spans="31:32" x14ac:dyDescent="0.25">
      <c r="AE1021809" s="36"/>
      <c r="AF1021809" s="36"/>
    </row>
    <row r="1021905" spans="31:32" x14ac:dyDescent="0.25">
      <c r="AE1021905" s="34"/>
      <c r="AF1021905" s="34"/>
    </row>
    <row r="1021913" spans="31:32" x14ac:dyDescent="0.25">
      <c r="AE1021913" s="36"/>
      <c r="AF1021913" s="36"/>
    </row>
    <row r="1022009" spans="31:32" x14ac:dyDescent="0.25">
      <c r="AE1022009" s="34"/>
      <c r="AF1022009" s="34"/>
    </row>
    <row r="1022017" spans="31:32" x14ac:dyDescent="0.25">
      <c r="AE1022017" s="36"/>
      <c r="AF1022017" s="36"/>
    </row>
    <row r="1022113" spans="31:32" x14ac:dyDescent="0.25">
      <c r="AE1022113" s="34"/>
      <c r="AF1022113" s="34"/>
    </row>
    <row r="1022121" spans="31:32" x14ac:dyDescent="0.25">
      <c r="AE1022121" s="36"/>
      <c r="AF1022121" s="36"/>
    </row>
    <row r="1022217" spans="31:32" x14ac:dyDescent="0.25">
      <c r="AE1022217" s="34"/>
      <c r="AF1022217" s="34"/>
    </row>
    <row r="1022225" spans="31:32" x14ac:dyDescent="0.25">
      <c r="AE1022225" s="36"/>
      <c r="AF1022225" s="36"/>
    </row>
    <row r="1022321" spans="31:32" x14ac:dyDescent="0.25">
      <c r="AE1022321" s="34"/>
      <c r="AF1022321" s="34"/>
    </row>
    <row r="1022329" spans="31:32" x14ac:dyDescent="0.25">
      <c r="AE1022329" s="36"/>
      <c r="AF1022329" s="36"/>
    </row>
    <row r="1022425" spans="31:32" x14ac:dyDescent="0.25">
      <c r="AE1022425" s="34"/>
      <c r="AF1022425" s="34"/>
    </row>
    <row r="1022433" spans="31:32" x14ac:dyDescent="0.25">
      <c r="AE1022433" s="36"/>
      <c r="AF1022433" s="36"/>
    </row>
    <row r="1022529" spans="31:32" x14ac:dyDescent="0.25">
      <c r="AE1022529" s="34"/>
      <c r="AF1022529" s="34"/>
    </row>
    <row r="1022537" spans="31:32" x14ac:dyDescent="0.25">
      <c r="AE1022537" s="36"/>
      <c r="AF1022537" s="36"/>
    </row>
    <row r="1022633" spans="31:32" x14ac:dyDescent="0.25">
      <c r="AE1022633" s="34"/>
      <c r="AF1022633" s="34"/>
    </row>
    <row r="1022641" spans="31:32" x14ac:dyDescent="0.25">
      <c r="AE1022641" s="36"/>
      <c r="AF1022641" s="36"/>
    </row>
    <row r="1022737" spans="31:32" x14ac:dyDescent="0.25">
      <c r="AE1022737" s="34"/>
      <c r="AF1022737" s="34"/>
    </row>
    <row r="1022745" spans="31:32" x14ac:dyDescent="0.25">
      <c r="AE1022745" s="36"/>
      <c r="AF1022745" s="36"/>
    </row>
    <row r="1022841" spans="31:32" x14ac:dyDescent="0.25">
      <c r="AE1022841" s="34"/>
      <c r="AF1022841" s="34"/>
    </row>
    <row r="1022849" spans="31:32" x14ac:dyDescent="0.25">
      <c r="AE1022849" s="36"/>
      <c r="AF1022849" s="36"/>
    </row>
    <row r="1022945" spans="31:32" x14ac:dyDescent="0.25">
      <c r="AE1022945" s="34"/>
      <c r="AF1022945" s="34"/>
    </row>
    <row r="1022953" spans="31:32" x14ac:dyDescent="0.25">
      <c r="AE1022953" s="36"/>
      <c r="AF1022953" s="36"/>
    </row>
    <row r="1023049" spans="31:32" x14ac:dyDescent="0.25">
      <c r="AE1023049" s="34"/>
      <c r="AF1023049" s="34"/>
    </row>
    <row r="1023057" spans="31:32" x14ac:dyDescent="0.25">
      <c r="AE1023057" s="36"/>
      <c r="AF1023057" s="36"/>
    </row>
    <row r="1023153" spans="31:32" x14ac:dyDescent="0.25">
      <c r="AE1023153" s="34"/>
      <c r="AF1023153" s="34"/>
    </row>
    <row r="1023161" spans="31:32" x14ac:dyDescent="0.25">
      <c r="AE1023161" s="36"/>
      <c r="AF1023161" s="36"/>
    </row>
    <row r="1023257" spans="31:32" x14ac:dyDescent="0.25">
      <c r="AE1023257" s="34"/>
      <c r="AF1023257" s="34"/>
    </row>
    <row r="1023265" spans="31:32" x14ac:dyDescent="0.25">
      <c r="AE1023265" s="36"/>
      <c r="AF1023265" s="36"/>
    </row>
    <row r="1023361" spans="31:32" x14ac:dyDescent="0.25">
      <c r="AE1023361" s="34"/>
      <c r="AF1023361" s="34"/>
    </row>
    <row r="1023369" spans="31:32" x14ac:dyDescent="0.25">
      <c r="AE1023369" s="36"/>
      <c r="AF1023369" s="36"/>
    </row>
    <row r="1023465" spans="31:32" x14ac:dyDescent="0.25">
      <c r="AE1023465" s="34"/>
      <c r="AF1023465" s="34"/>
    </row>
    <row r="1023473" spans="31:32" x14ac:dyDescent="0.25">
      <c r="AE1023473" s="36"/>
      <c r="AF1023473" s="36"/>
    </row>
    <row r="1023569" spans="31:32" x14ac:dyDescent="0.25">
      <c r="AE1023569" s="34"/>
      <c r="AF1023569" s="34"/>
    </row>
    <row r="1023577" spans="31:32" x14ac:dyDescent="0.25">
      <c r="AE1023577" s="36"/>
      <c r="AF1023577" s="36"/>
    </row>
    <row r="1023673" spans="31:32" x14ac:dyDescent="0.25">
      <c r="AE1023673" s="34"/>
      <c r="AF1023673" s="34"/>
    </row>
    <row r="1023681" spans="31:32" x14ac:dyDescent="0.25">
      <c r="AE1023681" s="36"/>
      <c r="AF1023681" s="36"/>
    </row>
    <row r="1023777" spans="31:32" x14ac:dyDescent="0.25">
      <c r="AE1023777" s="34"/>
      <c r="AF1023777" s="34"/>
    </row>
    <row r="1023785" spans="31:32" x14ac:dyDescent="0.25">
      <c r="AE1023785" s="36"/>
      <c r="AF1023785" s="36"/>
    </row>
    <row r="1023881" spans="31:32" x14ac:dyDescent="0.25">
      <c r="AE1023881" s="34"/>
      <c r="AF1023881" s="34"/>
    </row>
    <row r="1023889" spans="31:32" x14ac:dyDescent="0.25">
      <c r="AE1023889" s="36"/>
      <c r="AF1023889" s="36"/>
    </row>
    <row r="1023985" spans="31:32" x14ac:dyDescent="0.25">
      <c r="AE1023985" s="34"/>
      <c r="AF1023985" s="34"/>
    </row>
    <row r="1023993" spans="31:32" x14ac:dyDescent="0.25">
      <c r="AE1023993" s="36"/>
      <c r="AF1023993" s="36"/>
    </row>
    <row r="1024089" spans="31:32" x14ac:dyDescent="0.25">
      <c r="AE1024089" s="34"/>
      <c r="AF1024089" s="34"/>
    </row>
    <row r="1024097" spans="31:32" x14ac:dyDescent="0.25">
      <c r="AE1024097" s="36"/>
      <c r="AF1024097" s="36"/>
    </row>
    <row r="1024193" spans="31:32" x14ac:dyDescent="0.25">
      <c r="AE1024193" s="34"/>
      <c r="AF1024193" s="34"/>
    </row>
    <row r="1024201" spans="31:32" x14ac:dyDescent="0.25">
      <c r="AE1024201" s="36"/>
      <c r="AF1024201" s="36"/>
    </row>
    <row r="1024297" spans="31:32" x14ac:dyDescent="0.25">
      <c r="AE1024297" s="34"/>
      <c r="AF1024297" s="34"/>
    </row>
    <row r="1024305" spans="31:32" x14ac:dyDescent="0.25">
      <c r="AE1024305" s="36"/>
      <c r="AF1024305" s="36"/>
    </row>
    <row r="1024401" spans="31:32" x14ac:dyDescent="0.25">
      <c r="AE1024401" s="34"/>
      <c r="AF1024401" s="34"/>
    </row>
    <row r="1024409" spans="31:32" x14ac:dyDescent="0.25">
      <c r="AE1024409" s="36"/>
      <c r="AF1024409" s="36"/>
    </row>
    <row r="1024505" spans="31:32" x14ac:dyDescent="0.25">
      <c r="AE1024505" s="34"/>
      <c r="AF1024505" s="34"/>
    </row>
    <row r="1024513" spans="31:32" x14ac:dyDescent="0.25">
      <c r="AE1024513" s="36"/>
      <c r="AF1024513" s="36"/>
    </row>
    <row r="1024609" spans="31:32" x14ac:dyDescent="0.25">
      <c r="AE1024609" s="34"/>
      <c r="AF1024609" s="34"/>
    </row>
    <row r="1024617" spans="31:32" x14ac:dyDescent="0.25">
      <c r="AE1024617" s="36"/>
      <c r="AF1024617" s="36"/>
    </row>
    <row r="1024713" spans="31:32" x14ac:dyDescent="0.25">
      <c r="AE1024713" s="34"/>
      <c r="AF1024713" s="34"/>
    </row>
    <row r="1024721" spans="31:32" x14ac:dyDescent="0.25">
      <c r="AE1024721" s="36"/>
      <c r="AF1024721" s="36"/>
    </row>
    <row r="1024817" spans="31:32" x14ac:dyDescent="0.25">
      <c r="AE1024817" s="34"/>
      <c r="AF1024817" s="34"/>
    </row>
    <row r="1024825" spans="31:32" x14ac:dyDescent="0.25">
      <c r="AE1024825" s="36"/>
      <c r="AF1024825" s="36"/>
    </row>
    <row r="1024921" spans="31:32" x14ac:dyDescent="0.25">
      <c r="AE1024921" s="34"/>
      <c r="AF1024921" s="34"/>
    </row>
    <row r="1024929" spans="31:32" x14ac:dyDescent="0.25">
      <c r="AE1024929" s="36"/>
      <c r="AF1024929" s="36"/>
    </row>
    <row r="1025025" spans="31:32" x14ac:dyDescent="0.25">
      <c r="AE1025025" s="34"/>
      <c r="AF1025025" s="34"/>
    </row>
    <row r="1025033" spans="31:32" x14ac:dyDescent="0.25">
      <c r="AE1025033" s="36"/>
      <c r="AF1025033" s="36"/>
    </row>
    <row r="1025129" spans="31:32" x14ac:dyDescent="0.25">
      <c r="AE1025129" s="34"/>
      <c r="AF1025129" s="34"/>
    </row>
    <row r="1025137" spans="31:32" x14ac:dyDescent="0.25">
      <c r="AE1025137" s="36"/>
      <c r="AF1025137" s="36"/>
    </row>
    <row r="1025233" spans="31:32" x14ac:dyDescent="0.25">
      <c r="AE1025233" s="34"/>
      <c r="AF1025233" s="34"/>
    </row>
    <row r="1025241" spans="31:32" x14ac:dyDescent="0.25">
      <c r="AE1025241" s="36"/>
      <c r="AF1025241" s="36"/>
    </row>
    <row r="1025337" spans="31:32" x14ac:dyDescent="0.25">
      <c r="AE1025337" s="34"/>
      <c r="AF1025337" s="34"/>
    </row>
    <row r="1025345" spans="31:32" x14ac:dyDescent="0.25">
      <c r="AE1025345" s="36"/>
      <c r="AF1025345" s="36"/>
    </row>
    <row r="1025441" spans="31:32" x14ac:dyDescent="0.25">
      <c r="AE1025441" s="34"/>
      <c r="AF1025441" s="34"/>
    </row>
    <row r="1025449" spans="31:32" x14ac:dyDescent="0.25">
      <c r="AE1025449" s="36"/>
      <c r="AF1025449" s="36"/>
    </row>
    <row r="1025545" spans="31:32" x14ac:dyDescent="0.25">
      <c r="AE1025545" s="34"/>
      <c r="AF1025545" s="34"/>
    </row>
    <row r="1025553" spans="31:32" x14ac:dyDescent="0.25">
      <c r="AE1025553" s="36"/>
      <c r="AF1025553" s="36"/>
    </row>
    <row r="1025649" spans="31:32" x14ac:dyDescent="0.25">
      <c r="AE1025649" s="34"/>
      <c r="AF1025649" s="34"/>
    </row>
    <row r="1025657" spans="31:32" x14ac:dyDescent="0.25">
      <c r="AE1025657" s="36"/>
      <c r="AF1025657" s="36"/>
    </row>
    <row r="1025753" spans="31:32" x14ac:dyDescent="0.25">
      <c r="AE1025753" s="34"/>
      <c r="AF1025753" s="34"/>
    </row>
    <row r="1025761" spans="31:32" x14ac:dyDescent="0.25">
      <c r="AE1025761" s="36"/>
      <c r="AF1025761" s="36"/>
    </row>
    <row r="1025857" spans="31:32" x14ac:dyDescent="0.25">
      <c r="AE1025857" s="34"/>
      <c r="AF1025857" s="34"/>
    </row>
    <row r="1025865" spans="31:32" x14ac:dyDescent="0.25">
      <c r="AE1025865" s="36"/>
      <c r="AF1025865" s="36"/>
    </row>
    <row r="1025961" spans="31:32" x14ac:dyDescent="0.25">
      <c r="AE1025961" s="34"/>
      <c r="AF1025961" s="34"/>
    </row>
    <row r="1025969" spans="31:32" x14ac:dyDescent="0.25">
      <c r="AE1025969" s="36"/>
      <c r="AF1025969" s="36"/>
    </row>
    <row r="1026065" spans="31:32" x14ac:dyDescent="0.25">
      <c r="AE1026065" s="34"/>
      <c r="AF1026065" s="34"/>
    </row>
    <row r="1026073" spans="31:32" x14ac:dyDescent="0.25">
      <c r="AE1026073" s="36"/>
      <c r="AF1026073" s="36"/>
    </row>
    <row r="1026169" spans="31:32" x14ac:dyDescent="0.25">
      <c r="AE1026169" s="34"/>
      <c r="AF1026169" s="34"/>
    </row>
    <row r="1026177" spans="31:32" x14ac:dyDescent="0.25">
      <c r="AE1026177" s="36"/>
      <c r="AF1026177" s="36"/>
    </row>
    <row r="1026273" spans="31:32" x14ac:dyDescent="0.25">
      <c r="AE1026273" s="34"/>
      <c r="AF1026273" s="34"/>
    </row>
    <row r="1026281" spans="31:32" x14ac:dyDescent="0.25">
      <c r="AE1026281" s="36"/>
      <c r="AF1026281" s="36"/>
    </row>
    <row r="1026377" spans="31:32" x14ac:dyDescent="0.25">
      <c r="AE1026377" s="34"/>
      <c r="AF1026377" s="34"/>
    </row>
    <row r="1026385" spans="31:32" x14ac:dyDescent="0.25">
      <c r="AE1026385" s="36"/>
      <c r="AF1026385" s="36"/>
    </row>
    <row r="1026481" spans="31:32" x14ac:dyDescent="0.25">
      <c r="AE1026481" s="34"/>
      <c r="AF1026481" s="34"/>
    </row>
    <row r="1026489" spans="31:32" x14ac:dyDescent="0.25">
      <c r="AE1026489" s="36"/>
      <c r="AF1026489" s="36"/>
    </row>
    <row r="1026585" spans="31:32" x14ac:dyDescent="0.25">
      <c r="AE1026585" s="34"/>
      <c r="AF1026585" s="34"/>
    </row>
    <row r="1026593" spans="31:32" x14ac:dyDescent="0.25">
      <c r="AE1026593" s="36"/>
      <c r="AF1026593" s="36"/>
    </row>
    <row r="1026689" spans="31:32" x14ac:dyDescent="0.25">
      <c r="AE1026689" s="34"/>
      <c r="AF1026689" s="34"/>
    </row>
    <row r="1026697" spans="31:32" x14ac:dyDescent="0.25">
      <c r="AE1026697" s="36"/>
      <c r="AF1026697" s="36"/>
    </row>
    <row r="1026793" spans="31:32" x14ac:dyDescent="0.25">
      <c r="AE1026793" s="34"/>
      <c r="AF1026793" s="34"/>
    </row>
    <row r="1026801" spans="31:32" x14ac:dyDescent="0.25">
      <c r="AE1026801" s="36"/>
      <c r="AF1026801" s="36"/>
    </row>
    <row r="1026897" spans="31:32" x14ac:dyDescent="0.25">
      <c r="AE1026897" s="34"/>
      <c r="AF1026897" s="34"/>
    </row>
    <row r="1026905" spans="31:32" x14ac:dyDescent="0.25">
      <c r="AE1026905" s="36"/>
      <c r="AF1026905" s="36"/>
    </row>
    <row r="1027001" spans="31:32" x14ac:dyDescent="0.25">
      <c r="AE1027001" s="34"/>
      <c r="AF1027001" s="34"/>
    </row>
    <row r="1027009" spans="31:32" x14ac:dyDescent="0.25">
      <c r="AE1027009" s="36"/>
      <c r="AF1027009" s="36"/>
    </row>
    <row r="1027105" spans="31:32" x14ac:dyDescent="0.25">
      <c r="AE1027105" s="34"/>
      <c r="AF1027105" s="34"/>
    </row>
    <row r="1027113" spans="31:32" x14ac:dyDescent="0.25">
      <c r="AE1027113" s="36"/>
      <c r="AF1027113" s="36"/>
    </row>
    <row r="1027209" spans="31:32" x14ac:dyDescent="0.25">
      <c r="AE1027209" s="34"/>
      <c r="AF1027209" s="34"/>
    </row>
    <row r="1027217" spans="31:32" x14ac:dyDescent="0.25">
      <c r="AE1027217" s="36"/>
      <c r="AF1027217" s="36"/>
    </row>
    <row r="1027313" spans="31:32" x14ac:dyDescent="0.25">
      <c r="AE1027313" s="34"/>
      <c r="AF1027313" s="34"/>
    </row>
    <row r="1027321" spans="31:32" x14ac:dyDescent="0.25">
      <c r="AE1027321" s="36"/>
      <c r="AF1027321" s="36"/>
    </row>
    <row r="1027417" spans="31:32" x14ac:dyDescent="0.25">
      <c r="AE1027417" s="34"/>
      <c r="AF1027417" s="34"/>
    </row>
    <row r="1027425" spans="31:32" x14ac:dyDescent="0.25">
      <c r="AE1027425" s="36"/>
      <c r="AF1027425" s="36"/>
    </row>
    <row r="1027521" spans="31:32" x14ac:dyDescent="0.25">
      <c r="AE1027521" s="34"/>
      <c r="AF1027521" s="34"/>
    </row>
    <row r="1027529" spans="31:32" x14ac:dyDescent="0.25">
      <c r="AE1027529" s="36"/>
      <c r="AF1027529" s="36"/>
    </row>
    <row r="1027625" spans="31:32" x14ac:dyDescent="0.25">
      <c r="AE1027625" s="34"/>
      <c r="AF1027625" s="34"/>
    </row>
    <row r="1027633" spans="31:32" x14ac:dyDescent="0.25">
      <c r="AE1027633" s="36"/>
      <c r="AF1027633" s="36"/>
    </row>
    <row r="1027729" spans="31:32" x14ac:dyDescent="0.25">
      <c r="AE1027729" s="34"/>
      <c r="AF1027729" s="34"/>
    </row>
    <row r="1027737" spans="31:32" x14ac:dyDescent="0.25">
      <c r="AE1027737" s="36"/>
      <c r="AF1027737" s="36"/>
    </row>
    <row r="1027833" spans="31:32" x14ac:dyDescent="0.25">
      <c r="AE1027833" s="34"/>
      <c r="AF1027833" s="34"/>
    </row>
    <row r="1027841" spans="31:32" x14ac:dyDescent="0.25">
      <c r="AE1027841" s="36"/>
      <c r="AF1027841" s="36"/>
    </row>
    <row r="1027937" spans="31:32" x14ac:dyDescent="0.25">
      <c r="AE1027937" s="34"/>
      <c r="AF1027937" s="34"/>
    </row>
    <row r="1027945" spans="31:32" x14ac:dyDescent="0.25">
      <c r="AE1027945" s="36"/>
      <c r="AF1027945" s="36"/>
    </row>
    <row r="1028041" spans="31:32" x14ac:dyDescent="0.25">
      <c r="AE1028041" s="34"/>
      <c r="AF1028041" s="34"/>
    </row>
    <row r="1028049" spans="31:32" x14ac:dyDescent="0.25">
      <c r="AE1028049" s="36"/>
      <c r="AF1028049" s="36"/>
    </row>
    <row r="1028145" spans="31:32" x14ac:dyDescent="0.25">
      <c r="AE1028145" s="34"/>
      <c r="AF1028145" s="34"/>
    </row>
    <row r="1028153" spans="31:32" x14ac:dyDescent="0.25">
      <c r="AE1028153" s="36"/>
      <c r="AF1028153" s="36"/>
    </row>
    <row r="1028249" spans="31:32" x14ac:dyDescent="0.25">
      <c r="AE1028249" s="34"/>
      <c r="AF1028249" s="34"/>
    </row>
    <row r="1028257" spans="31:32" x14ac:dyDescent="0.25">
      <c r="AE1028257" s="36"/>
      <c r="AF1028257" s="36"/>
    </row>
    <row r="1028353" spans="31:32" x14ac:dyDescent="0.25">
      <c r="AE1028353" s="34"/>
      <c r="AF1028353" s="34"/>
    </row>
    <row r="1028361" spans="31:32" x14ac:dyDescent="0.25">
      <c r="AE1028361" s="36"/>
      <c r="AF1028361" s="36"/>
    </row>
    <row r="1028457" spans="31:32" x14ac:dyDescent="0.25">
      <c r="AE1028457" s="34"/>
      <c r="AF1028457" s="34"/>
    </row>
    <row r="1028465" spans="31:32" x14ac:dyDescent="0.25">
      <c r="AE1028465" s="36"/>
      <c r="AF1028465" s="36"/>
    </row>
    <row r="1028561" spans="31:32" x14ac:dyDescent="0.25">
      <c r="AE1028561" s="34"/>
      <c r="AF1028561" s="34"/>
    </row>
    <row r="1028569" spans="31:32" x14ac:dyDescent="0.25">
      <c r="AE1028569" s="36"/>
      <c r="AF1028569" s="36"/>
    </row>
    <row r="1028665" spans="31:32" x14ac:dyDescent="0.25">
      <c r="AE1028665" s="34"/>
      <c r="AF1028665" s="34"/>
    </row>
    <row r="1028673" spans="31:32" x14ac:dyDescent="0.25">
      <c r="AE1028673" s="36"/>
      <c r="AF1028673" s="36"/>
    </row>
    <row r="1028769" spans="31:32" x14ac:dyDescent="0.25">
      <c r="AE1028769" s="34"/>
      <c r="AF1028769" s="34"/>
    </row>
    <row r="1028777" spans="31:32" x14ac:dyDescent="0.25">
      <c r="AE1028777" s="36"/>
      <c r="AF1028777" s="36"/>
    </row>
    <row r="1028873" spans="31:32" x14ac:dyDescent="0.25">
      <c r="AE1028873" s="34"/>
      <c r="AF1028873" s="34"/>
    </row>
    <row r="1028881" spans="31:32" x14ac:dyDescent="0.25">
      <c r="AE1028881" s="36"/>
      <c r="AF1028881" s="36"/>
    </row>
    <row r="1028977" spans="31:32" x14ac:dyDescent="0.25">
      <c r="AE1028977" s="34"/>
      <c r="AF1028977" s="34"/>
    </row>
    <row r="1028985" spans="31:32" x14ac:dyDescent="0.25">
      <c r="AE1028985" s="36"/>
      <c r="AF1028985" s="36"/>
    </row>
    <row r="1029081" spans="31:32" x14ac:dyDescent="0.25">
      <c r="AE1029081" s="34"/>
      <c r="AF1029081" s="34"/>
    </row>
    <row r="1029089" spans="31:32" x14ac:dyDescent="0.25">
      <c r="AE1029089" s="36"/>
      <c r="AF1029089" s="36"/>
    </row>
    <row r="1029185" spans="31:32" x14ac:dyDescent="0.25">
      <c r="AE1029185" s="34"/>
      <c r="AF1029185" s="34"/>
    </row>
    <row r="1029193" spans="31:32" x14ac:dyDescent="0.25">
      <c r="AE1029193" s="36"/>
      <c r="AF1029193" s="36"/>
    </row>
    <row r="1029289" spans="31:32" x14ac:dyDescent="0.25">
      <c r="AE1029289" s="34"/>
      <c r="AF1029289" s="34"/>
    </row>
    <row r="1029297" spans="31:32" x14ac:dyDescent="0.25">
      <c r="AE1029297" s="36"/>
      <c r="AF1029297" s="36"/>
    </row>
    <row r="1029393" spans="31:32" x14ac:dyDescent="0.25">
      <c r="AE1029393" s="34"/>
      <c r="AF1029393" s="34"/>
    </row>
    <row r="1029401" spans="31:32" x14ac:dyDescent="0.25">
      <c r="AE1029401" s="36"/>
      <c r="AF1029401" s="36"/>
    </row>
    <row r="1029497" spans="31:32" x14ac:dyDescent="0.25">
      <c r="AE1029497" s="34"/>
      <c r="AF1029497" s="34"/>
    </row>
    <row r="1029505" spans="31:32" x14ac:dyDescent="0.25">
      <c r="AE1029505" s="36"/>
      <c r="AF1029505" s="36"/>
    </row>
    <row r="1029601" spans="31:32" x14ac:dyDescent="0.25">
      <c r="AE1029601" s="34"/>
      <c r="AF1029601" s="34"/>
    </row>
    <row r="1029609" spans="31:32" x14ac:dyDescent="0.25">
      <c r="AE1029609" s="36"/>
      <c r="AF1029609" s="36"/>
    </row>
    <row r="1029705" spans="31:32" x14ac:dyDescent="0.25">
      <c r="AE1029705" s="34"/>
      <c r="AF1029705" s="34"/>
    </row>
    <row r="1029713" spans="31:32" x14ac:dyDescent="0.25">
      <c r="AE1029713" s="36"/>
      <c r="AF1029713" s="36"/>
    </row>
    <row r="1029809" spans="31:32" x14ac:dyDescent="0.25">
      <c r="AE1029809" s="34"/>
      <c r="AF1029809" s="34"/>
    </row>
    <row r="1029817" spans="31:32" x14ac:dyDescent="0.25">
      <c r="AE1029817" s="36"/>
      <c r="AF1029817" s="36"/>
    </row>
    <row r="1029913" spans="31:32" x14ac:dyDescent="0.25">
      <c r="AE1029913" s="34"/>
      <c r="AF1029913" s="34"/>
    </row>
    <row r="1029921" spans="31:32" x14ac:dyDescent="0.25">
      <c r="AE1029921" s="36"/>
      <c r="AF1029921" s="36"/>
    </row>
    <row r="1030017" spans="31:32" x14ac:dyDescent="0.25">
      <c r="AE1030017" s="34"/>
      <c r="AF1030017" s="34"/>
    </row>
    <row r="1030025" spans="31:32" x14ac:dyDescent="0.25">
      <c r="AE1030025" s="36"/>
      <c r="AF1030025" s="36"/>
    </row>
    <row r="1030121" spans="31:32" x14ac:dyDescent="0.25">
      <c r="AE1030121" s="34"/>
      <c r="AF1030121" s="34"/>
    </row>
    <row r="1030129" spans="31:32" x14ac:dyDescent="0.25">
      <c r="AE1030129" s="36"/>
      <c r="AF1030129" s="36"/>
    </row>
    <row r="1030225" spans="31:32" x14ac:dyDescent="0.25">
      <c r="AE1030225" s="34"/>
      <c r="AF1030225" s="34"/>
    </row>
    <row r="1030233" spans="31:32" x14ac:dyDescent="0.25">
      <c r="AE1030233" s="36"/>
      <c r="AF1030233" s="36"/>
    </row>
    <row r="1030329" spans="31:32" x14ac:dyDescent="0.25">
      <c r="AE1030329" s="34"/>
      <c r="AF1030329" s="34"/>
    </row>
    <row r="1030337" spans="31:32" x14ac:dyDescent="0.25">
      <c r="AE1030337" s="36"/>
      <c r="AF1030337" s="36"/>
    </row>
    <row r="1030433" spans="31:32" x14ac:dyDescent="0.25">
      <c r="AE1030433" s="34"/>
      <c r="AF1030433" s="34"/>
    </row>
    <row r="1030441" spans="31:32" x14ac:dyDescent="0.25">
      <c r="AE1030441" s="36"/>
      <c r="AF1030441" s="36"/>
    </row>
    <row r="1030537" spans="31:32" x14ac:dyDescent="0.25">
      <c r="AE1030537" s="34"/>
      <c r="AF1030537" s="34"/>
    </row>
    <row r="1030545" spans="31:32" x14ac:dyDescent="0.25">
      <c r="AE1030545" s="36"/>
      <c r="AF1030545" s="36"/>
    </row>
    <row r="1030641" spans="31:32" x14ac:dyDescent="0.25">
      <c r="AE1030641" s="34"/>
      <c r="AF1030641" s="34"/>
    </row>
    <row r="1030649" spans="31:32" x14ac:dyDescent="0.25">
      <c r="AE1030649" s="36"/>
      <c r="AF1030649" s="36"/>
    </row>
    <row r="1030745" spans="31:32" x14ac:dyDescent="0.25">
      <c r="AE1030745" s="34"/>
      <c r="AF1030745" s="34"/>
    </row>
    <row r="1030753" spans="31:32" x14ac:dyDescent="0.25">
      <c r="AE1030753" s="36"/>
      <c r="AF1030753" s="36"/>
    </row>
    <row r="1030849" spans="31:32" x14ac:dyDescent="0.25">
      <c r="AE1030849" s="34"/>
      <c r="AF1030849" s="34"/>
    </row>
    <row r="1030857" spans="31:32" x14ac:dyDescent="0.25">
      <c r="AE1030857" s="36"/>
      <c r="AF1030857" s="36"/>
    </row>
    <row r="1030953" spans="31:32" x14ac:dyDescent="0.25">
      <c r="AE1030953" s="34"/>
      <c r="AF1030953" s="34"/>
    </row>
    <row r="1030961" spans="31:32" x14ac:dyDescent="0.25">
      <c r="AE1030961" s="36"/>
      <c r="AF1030961" s="36"/>
    </row>
    <row r="1031057" spans="31:32" x14ac:dyDescent="0.25">
      <c r="AE1031057" s="34"/>
      <c r="AF1031057" s="34"/>
    </row>
    <row r="1031065" spans="31:32" x14ac:dyDescent="0.25">
      <c r="AE1031065" s="36"/>
      <c r="AF1031065" s="36"/>
    </row>
    <row r="1031161" spans="31:32" x14ac:dyDescent="0.25">
      <c r="AE1031161" s="34"/>
      <c r="AF1031161" s="34"/>
    </row>
    <row r="1031169" spans="31:32" x14ac:dyDescent="0.25">
      <c r="AE1031169" s="36"/>
      <c r="AF1031169" s="36"/>
    </row>
    <row r="1031265" spans="31:32" x14ac:dyDescent="0.25">
      <c r="AE1031265" s="34"/>
      <c r="AF1031265" s="34"/>
    </row>
    <row r="1031273" spans="31:32" x14ac:dyDescent="0.25">
      <c r="AE1031273" s="36"/>
      <c r="AF1031273" s="36"/>
    </row>
    <row r="1031369" spans="31:32" x14ac:dyDescent="0.25">
      <c r="AE1031369" s="34"/>
      <c r="AF1031369" s="34"/>
    </row>
    <row r="1031377" spans="31:32" x14ac:dyDescent="0.25">
      <c r="AE1031377" s="36"/>
      <c r="AF1031377" s="36"/>
    </row>
    <row r="1031473" spans="31:32" x14ac:dyDescent="0.25">
      <c r="AE1031473" s="34"/>
      <c r="AF1031473" s="34"/>
    </row>
    <row r="1031481" spans="31:32" x14ac:dyDescent="0.25">
      <c r="AE1031481" s="36"/>
      <c r="AF1031481" s="36"/>
    </row>
    <row r="1031577" spans="31:32" x14ac:dyDescent="0.25">
      <c r="AE1031577" s="34"/>
      <c r="AF1031577" s="34"/>
    </row>
    <row r="1031585" spans="31:32" x14ac:dyDescent="0.25">
      <c r="AE1031585" s="36"/>
      <c r="AF1031585" s="36"/>
    </row>
    <row r="1031681" spans="31:32" x14ac:dyDescent="0.25">
      <c r="AE1031681" s="34"/>
      <c r="AF1031681" s="34"/>
    </row>
    <row r="1031689" spans="31:32" x14ac:dyDescent="0.25">
      <c r="AE1031689" s="36"/>
      <c r="AF1031689" s="36"/>
    </row>
    <row r="1031785" spans="31:32" x14ac:dyDescent="0.25">
      <c r="AE1031785" s="34"/>
      <c r="AF1031785" s="34"/>
    </row>
    <row r="1031793" spans="31:32" x14ac:dyDescent="0.25">
      <c r="AE1031793" s="36"/>
      <c r="AF1031793" s="36"/>
    </row>
    <row r="1031889" spans="31:32" x14ac:dyDescent="0.25">
      <c r="AE1031889" s="34"/>
      <c r="AF1031889" s="34"/>
    </row>
    <row r="1031897" spans="31:32" x14ac:dyDescent="0.25">
      <c r="AE1031897" s="36"/>
      <c r="AF1031897" s="36"/>
    </row>
    <row r="1031993" spans="31:32" x14ac:dyDescent="0.25">
      <c r="AE1031993" s="34"/>
      <c r="AF1031993" s="34"/>
    </row>
    <row r="1032001" spans="31:32" x14ac:dyDescent="0.25">
      <c r="AE1032001" s="36"/>
      <c r="AF1032001" s="36"/>
    </row>
    <row r="1032097" spans="31:32" x14ac:dyDescent="0.25">
      <c r="AE1032097" s="34"/>
      <c r="AF1032097" s="34"/>
    </row>
    <row r="1032105" spans="31:32" x14ac:dyDescent="0.25">
      <c r="AE1032105" s="36"/>
      <c r="AF1032105" s="36"/>
    </row>
    <row r="1032201" spans="31:32" x14ac:dyDescent="0.25">
      <c r="AE1032201" s="34"/>
      <c r="AF1032201" s="34"/>
    </row>
    <row r="1032209" spans="31:32" x14ac:dyDescent="0.25">
      <c r="AE1032209" s="36"/>
      <c r="AF1032209" s="36"/>
    </row>
    <row r="1032305" spans="31:32" x14ac:dyDescent="0.25">
      <c r="AE1032305" s="34"/>
      <c r="AF1032305" s="34"/>
    </row>
    <row r="1032313" spans="31:32" x14ac:dyDescent="0.25">
      <c r="AE1032313" s="36"/>
      <c r="AF1032313" s="36"/>
    </row>
    <row r="1032409" spans="31:32" x14ac:dyDescent="0.25">
      <c r="AE1032409" s="34"/>
      <c r="AF1032409" s="34"/>
    </row>
    <row r="1032417" spans="31:32" x14ac:dyDescent="0.25">
      <c r="AE1032417" s="36"/>
      <c r="AF1032417" s="36"/>
    </row>
    <row r="1032513" spans="31:32" x14ac:dyDescent="0.25">
      <c r="AE1032513" s="34"/>
      <c r="AF1032513" s="34"/>
    </row>
    <row r="1032521" spans="31:32" x14ac:dyDescent="0.25">
      <c r="AE1032521" s="36"/>
      <c r="AF1032521" s="36"/>
    </row>
    <row r="1032617" spans="31:32" x14ac:dyDescent="0.25">
      <c r="AE1032617" s="34"/>
      <c r="AF1032617" s="34"/>
    </row>
    <row r="1032625" spans="31:32" x14ac:dyDescent="0.25">
      <c r="AE1032625" s="36"/>
      <c r="AF1032625" s="36"/>
    </row>
    <row r="1032721" spans="31:32" x14ac:dyDescent="0.25">
      <c r="AE1032721" s="34"/>
      <c r="AF1032721" s="34"/>
    </row>
    <row r="1032729" spans="31:32" x14ac:dyDescent="0.25">
      <c r="AE1032729" s="36"/>
      <c r="AF1032729" s="36"/>
    </row>
    <row r="1032825" spans="31:32" x14ac:dyDescent="0.25">
      <c r="AE1032825" s="34"/>
      <c r="AF1032825" s="34"/>
    </row>
    <row r="1032833" spans="31:32" x14ac:dyDescent="0.25">
      <c r="AE1032833" s="36"/>
      <c r="AF1032833" s="36"/>
    </row>
    <row r="1032929" spans="31:32" x14ac:dyDescent="0.25">
      <c r="AE1032929" s="34"/>
      <c r="AF1032929" s="34"/>
    </row>
    <row r="1032937" spans="31:32" x14ac:dyDescent="0.25">
      <c r="AE1032937" s="36"/>
      <c r="AF1032937" s="36"/>
    </row>
    <row r="1033033" spans="31:32" x14ac:dyDescent="0.25">
      <c r="AE1033033" s="34"/>
      <c r="AF1033033" s="34"/>
    </row>
    <row r="1033041" spans="31:32" x14ac:dyDescent="0.25">
      <c r="AE1033041" s="36"/>
      <c r="AF1033041" s="36"/>
    </row>
    <row r="1033137" spans="31:32" x14ac:dyDescent="0.25">
      <c r="AE1033137" s="34"/>
      <c r="AF1033137" s="34"/>
    </row>
    <row r="1033145" spans="31:32" x14ac:dyDescent="0.25">
      <c r="AE1033145" s="36"/>
      <c r="AF1033145" s="36"/>
    </row>
    <row r="1033241" spans="31:32" x14ac:dyDescent="0.25">
      <c r="AE1033241" s="34"/>
      <c r="AF1033241" s="34"/>
    </row>
    <row r="1033249" spans="31:32" x14ac:dyDescent="0.25">
      <c r="AE1033249" s="36"/>
      <c r="AF1033249" s="36"/>
    </row>
    <row r="1033345" spans="31:32" x14ac:dyDescent="0.25">
      <c r="AE1033345" s="34"/>
      <c r="AF1033345" s="34"/>
    </row>
    <row r="1033353" spans="31:32" x14ac:dyDescent="0.25">
      <c r="AE1033353" s="36"/>
      <c r="AF1033353" s="36"/>
    </row>
    <row r="1033449" spans="31:32" x14ac:dyDescent="0.25">
      <c r="AE1033449" s="34"/>
      <c r="AF1033449" s="34"/>
    </row>
    <row r="1033457" spans="31:32" x14ac:dyDescent="0.25">
      <c r="AE1033457" s="36"/>
      <c r="AF1033457" s="36"/>
    </row>
    <row r="1033553" spans="31:32" x14ac:dyDescent="0.25">
      <c r="AE1033553" s="34"/>
      <c r="AF1033553" s="34"/>
    </row>
    <row r="1033561" spans="31:32" x14ac:dyDescent="0.25">
      <c r="AE1033561" s="36"/>
      <c r="AF1033561" s="36"/>
    </row>
    <row r="1033657" spans="31:32" x14ac:dyDescent="0.25">
      <c r="AE1033657" s="34"/>
      <c r="AF1033657" s="34"/>
    </row>
    <row r="1033665" spans="31:32" x14ac:dyDescent="0.25">
      <c r="AE1033665" s="36"/>
      <c r="AF1033665" s="36"/>
    </row>
    <row r="1033761" spans="31:32" x14ac:dyDescent="0.25">
      <c r="AE1033761" s="34"/>
      <c r="AF1033761" s="34"/>
    </row>
    <row r="1033769" spans="31:32" x14ac:dyDescent="0.25">
      <c r="AE1033769" s="36"/>
      <c r="AF1033769" s="36"/>
    </row>
    <row r="1033865" spans="31:32" x14ac:dyDescent="0.25">
      <c r="AE1033865" s="34"/>
      <c r="AF1033865" s="34"/>
    </row>
    <row r="1033873" spans="31:32" x14ac:dyDescent="0.25">
      <c r="AE1033873" s="36"/>
      <c r="AF1033873" s="36"/>
    </row>
    <row r="1033969" spans="31:32" x14ac:dyDescent="0.25">
      <c r="AE1033969" s="34"/>
      <c r="AF1033969" s="34"/>
    </row>
    <row r="1033977" spans="31:32" x14ac:dyDescent="0.25">
      <c r="AE1033977" s="36"/>
      <c r="AF1033977" s="36"/>
    </row>
    <row r="1034073" spans="31:32" x14ac:dyDescent="0.25">
      <c r="AE1034073" s="34"/>
      <c r="AF1034073" s="34"/>
    </row>
    <row r="1034081" spans="31:32" x14ac:dyDescent="0.25">
      <c r="AE1034081" s="36"/>
      <c r="AF1034081" s="36"/>
    </row>
    <row r="1034177" spans="31:32" x14ac:dyDescent="0.25">
      <c r="AE1034177" s="34"/>
      <c r="AF1034177" s="34"/>
    </row>
    <row r="1034185" spans="31:32" x14ac:dyDescent="0.25">
      <c r="AE1034185" s="36"/>
      <c r="AF1034185" s="36"/>
    </row>
    <row r="1034281" spans="31:32" x14ac:dyDescent="0.25">
      <c r="AE1034281" s="34"/>
      <c r="AF1034281" s="34"/>
    </row>
    <row r="1034289" spans="31:32" x14ac:dyDescent="0.25">
      <c r="AE1034289" s="36"/>
      <c r="AF1034289" s="36"/>
    </row>
    <row r="1034385" spans="31:32" x14ac:dyDescent="0.25">
      <c r="AE1034385" s="34"/>
      <c r="AF1034385" s="34"/>
    </row>
    <row r="1034393" spans="31:32" x14ac:dyDescent="0.25">
      <c r="AE1034393" s="36"/>
      <c r="AF1034393" s="36"/>
    </row>
    <row r="1034489" spans="31:32" x14ac:dyDescent="0.25">
      <c r="AE1034489" s="34"/>
      <c r="AF1034489" s="34"/>
    </row>
    <row r="1034497" spans="31:32" x14ac:dyDescent="0.25">
      <c r="AE1034497" s="36"/>
      <c r="AF1034497" s="36"/>
    </row>
    <row r="1034593" spans="31:32" x14ac:dyDescent="0.25">
      <c r="AE1034593" s="34"/>
      <c r="AF1034593" s="34"/>
    </row>
    <row r="1034601" spans="31:32" x14ac:dyDescent="0.25">
      <c r="AE1034601" s="36"/>
      <c r="AF1034601" s="36"/>
    </row>
    <row r="1034697" spans="31:32" x14ac:dyDescent="0.25">
      <c r="AE1034697" s="34"/>
      <c r="AF1034697" s="34"/>
    </row>
    <row r="1034705" spans="31:32" x14ac:dyDescent="0.25">
      <c r="AE1034705" s="36"/>
      <c r="AF1034705" s="36"/>
    </row>
    <row r="1034801" spans="31:32" x14ac:dyDescent="0.25">
      <c r="AE1034801" s="34"/>
      <c r="AF1034801" s="34"/>
    </row>
    <row r="1034809" spans="31:32" x14ac:dyDescent="0.25">
      <c r="AE1034809" s="36"/>
      <c r="AF1034809" s="36"/>
    </row>
    <row r="1034905" spans="31:32" x14ac:dyDescent="0.25">
      <c r="AE1034905" s="34"/>
      <c r="AF1034905" s="34"/>
    </row>
    <row r="1034913" spans="31:32" x14ac:dyDescent="0.25">
      <c r="AE1034913" s="36"/>
      <c r="AF1034913" s="36"/>
    </row>
    <row r="1035009" spans="31:32" x14ac:dyDescent="0.25">
      <c r="AE1035009" s="34"/>
      <c r="AF1035009" s="34"/>
    </row>
    <row r="1035017" spans="31:32" x14ac:dyDescent="0.25">
      <c r="AE1035017" s="36"/>
      <c r="AF1035017" s="36"/>
    </row>
    <row r="1035113" spans="31:32" x14ac:dyDescent="0.25">
      <c r="AE1035113" s="34"/>
      <c r="AF1035113" s="34"/>
    </row>
    <row r="1035121" spans="31:32" x14ac:dyDescent="0.25">
      <c r="AE1035121" s="36"/>
      <c r="AF1035121" s="36"/>
    </row>
    <row r="1035217" spans="31:32" x14ac:dyDescent="0.25">
      <c r="AE1035217" s="34"/>
      <c r="AF1035217" s="34"/>
    </row>
    <row r="1035225" spans="31:32" x14ac:dyDescent="0.25">
      <c r="AE1035225" s="36"/>
      <c r="AF1035225" s="36"/>
    </row>
    <row r="1035321" spans="31:32" x14ac:dyDescent="0.25">
      <c r="AE1035321" s="34"/>
      <c r="AF1035321" s="34"/>
    </row>
    <row r="1035329" spans="31:32" x14ac:dyDescent="0.25">
      <c r="AE1035329" s="36"/>
      <c r="AF1035329" s="36"/>
    </row>
    <row r="1035425" spans="31:32" x14ac:dyDescent="0.25">
      <c r="AE1035425" s="34"/>
      <c r="AF1035425" s="34"/>
    </row>
    <row r="1035433" spans="31:32" x14ac:dyDescent="0.25">
      <c r="AE1035433" s="36"/>
      <c r="AF1035433" s="36"/>
    </row>
    <row r="1035529" spans="31:32" x14ac:dyDescent="0.25">
      <c r="AE1035529" s="34"/>
      <c r="AF1035529" s="34"/>
    </row>
    <row r="1035537" spans="31:32" x14ac:dyDescent="0.25">
      <c r="AE1035537" s="36"/>
      <c r="AF1035537" s="36"/>
    </row>
    <row r="1035633" spans="31:32" x14ac:dyDescent="0.25">
      <c r="AE1035633" s="34"/>
      <c r="AF1035633" s="34"/>
    </row>
    <row r="1035641" spans="31:32" x14ac:dyDescent="0.25">
      <c r="AE1035641" s="36"/>
      <c r="AF1035641" s="36"/>
    </row>
    <row r="1035737" spans="31:32" x14ac:dyDescent="0.25">
      <c r="AE1035737" s="34"/>
      <c r="AF1035737" s="34"/>
    </row>
    <row r="1035745" spans="31:32" x14ac:dyDescent="0.25">
      <c r="AE1035745" s="36"/>
      <c r="AF1035745" s="36"/>
    </row>
    <row r="1035841" spans="31:32" x14ac:dyDescent="0.25">
      <c r="AE1035841" s="34"/>
      <c r="AF1035841" s="34"/>
    </row>
    <row r="1035849" spans="31:32" x14ac:dyDescent="0.25">
      <c r="AE1035849" s="36"/>
      <c r="AF1035849" s="36"/>
    </row>
    <row r="1035945" spans="31:32" x14ac:dyDescent="0.25">
      <c r="AE1035945" s="34"/>
      <c r="AF1035945" s="34"/>
    </row>
    <row r="1035953" spans="31:32" x14ac:dyDescent="0.25">
      <c r="AE1035953" s="36"/>
      <c r="AF1035953" s="36"/>
    </row>
    <row r="1036049" spans="31:32" x14ac:dyDescent="0.25">
      <c r="AE1036049" s="34"/>
      <c r="AF1036049" s="34"/>
    </row>
    <row r="1036057" spans="31:32" x14ac:dyDescent="0.25">
      <c r="AE1036057" s="36"/>
      <c r="AF1036057" s="36"/>
    </row>
    <row r="1036153" spans="31:32" x14ac:dyDescent="0.25">
      <c r="AE1036153" s="34"/>
      <c r="AF1036153" s="34"/>
    </row>
    <row r="1036161" spans="31:32" x14ac:dyDescent="0.25">
      <c r="AE1036161" s="36"/>
      <c r="AF1036161" s="36"/>
    </row>
    <row r="1036257" spans="31:32" x14ac:dyDescent="0.25">
      <c r="AE1036257" s="34"/>
      <c r="AF1036257" s="34"/>
    </row>
    <row r="1036265" spans="31:32" x14ac:dyDescent="0.25">
      <c r="AE1036265" s="36"/>
      <c r="AF1036265" s="36"/>
    </row>
    <row r="1036361" spans="31:32" x14ac:dyDescent="0.25">
      <c r="AE1036361" s="34"/>
      <c r="AF1036361" s="34"/>
    </row>
    <row r="1036369" spans="31:32" x14ac:dyDescent="0.25">
      <c r="AE1036369" s="36"/>
      <c r="AF1036369" s="36"/>
    </row>
    <row r="1036465" spans="31:32" x14ac:dyDescent="0.25">
      <c r="AE1036465" s="34"/>
      <c r="AF1036465" s="34"/>
    </row>
    <row r="1036473" spans="31:32" x14ac:dyDescent="0.25">
      <c r="AE1036473" s="36"/>
      <c r="AF1036473" s="36"/>
    </row>
    <row r="1036569" spans="31:32" x14ac:dyDescent="0.25">
      <c r="AE1036569" s="34"/>
      <c r="AF1036569" s="34"/>
    </row>
    <row r="1036577" spans="31:32" x14ac:dyDescent="0.25">
      <c r="AE1036577" s="36"/>
      <c r="AF1036577" s="36"/>
    </row>
    <row r="1036673" spans="31:32" x14ac:dyDescent="0.25">
      <c r="AE1036673" s="34"/>
      <c r="AF1036673" s="34"/>
    </row>
    <row r="1036681" spans="31:32" x14ac:dyDescent="0.25">
      <c r="AE1036681" s="36"/>
      <c r="AF1036681" s="36"/>
    </row>
    <row r="1036777" spans="31:32" x14ac:dyDescent="0.25">
      <c r="AE1036777" s="34"/>
      <c r="AF1036777" s="34"/>
    </row>
    <row r="1036785" spans="31:32" x14ac:dyDescent="0.25">
      <c r="AE1036785" s="36"/>
      <c r="AF1036785" s="36"/>
    </row>
    <row r="1036881" spans="31:32" x14ac:dyDescent="0.25">
      <c r="AE1036881" s="34"/>
      <c r="AF1036881" s="34"/>
    </row>
    <row r="1036889" spans="31:32" x14ac:dyDescent="0.25">
      <c r="AE1036889" s="36"/>
      <c r="AF1036889" s="36"/>
    </row>
    <row r="1036985" spans="31:32" x14ac:dyDescent="0.25">
      <c r="AE1036985" s="34"/>
      <c r="AF1036985" s="34"/>
    </row>
    <row r="1036993" spans="31:32" x14ac:dyDescent="0.25">
      <c r="AE1036993" s="36"/>
      <c r="AF1036993" s="36"/>
    </row>
    <row r="1037089" spans="31:32" x14ac:dyDescent="0.25">
      <c r="AE1037089" s="34"/>
      <c r="AF1037089" s="34"/>
    </row>
    <row r="1037097" spans="31:32" x14ac:dyDescent="0.25">
      <c r="AE1037097" s="36"/>
      <c r="AF1037097" s="36"/>
    </row>
    <row r="1037193" spans="31:32" x14ac:dyDescent="0.25">
      <c r="AE1037193" s="34"/>
      <c r="AF1037193" s="34"/>
    </row>
    <row r="1037201" spans="31:32" x14ac:dyDescent="0.25">
      <c r="AE1037201" s="36"/>
      <c r="AF1037201" s="36"/>
    </row>
    <row r="1037297" spans="31:32" x14ac:dyDescent="0.25">
      <c r="AE1037297" s="34"/>
      <c r="AF1037297" s="34"/>
    </row>
    <row r="1037305" spans="31:32" x14ac:dyDescent="0.25">
      <c r="AE1037305" s="36"/>
      <c r="AF1037305" s="36"/>
    </row>
    <row r="1037401" spans="31:32" x14ac:dyDescent="0.25">
      <c r="AE1037401" s="34"/>
      <c r="AF1037401" s="34"/>
    </row>
    <row r="1037409" spans="31:32" x14ac:dyDescent="0.25">
      <c r="AE1037409" s="36"/>
      <c r="AF1037409" s="36"/>
    </row>
    <row r="1037505" spans="31:32" x14ac:dyDescent="0.25">
      <c r="AE1037505" s="34"/>
      <c r="AF1037505" s="34"/>
    </row>
    <row r="1037513" spans="31:32" x14ac:dyDescent="0.25">
      <c r="AE1037513" s="36"/>
      <c r="AF1037513" s="36"/>
    </row>
    <row r="1037609" spans="31:32" x14ac:dyDescent="0.25">
      <c r="AE1037609" s="34"/>
      <c r="AF1037609" s="34"/>
    </row>
    <row r="1037617" spans="31:32" x14ac:dyDescent="0.25">
      <c r="AE1037617" s="36"/>
      <c r="AF1037617" s="36"/>
    </row>
    <row r="1037713" spans="31:32" x14ac:dyDescent="0.25">
      <c r="AE1037713" s="34"/>
      <c r="AF1037713" s="34"/>
    </row>
    <row r="1037721" spans="31:32" x14ac:dyDescent="0.25">
      <c r="AE1037721" s="36"/>
      <c r="AF1037721" s="36"/>
    </row>
    <row r="1037817" spans="31:32" x14ac:dyDescent="0.25">
      <c r="AE1037817" s="34"/>
      <c r="AF1037817" s="34"/>
    </row>
    <row r="1037825" spans="31:32" x14ac:dyDescent="0.25">
      <c r="AE1037825" s="36"/>
      <c r="AF1037825" s="36"/>
    </row>
    <row r="1037921" spans="31:32" x14ac:dyDescent="0.25">
      <c r="AE1037921" s="34"/>
      <c r="AF1037921" s="34"/>
    </row>
    <row r="1037929" spans="31:32" x14ac:dyDescent="0.25">
      <c r="AE1037929" s="36"/>
      <c r="AF1037929" s="36"/>
    </row>
    <row r="1038025" spans="31:32" x14ac:dyDescent="0.25">
      <c r="AE1038025" s="34"/>
      <c r="AF1038025" s="34"/>
    </row>
    <row r="1038033" spans="31:32" x14ac:dyDescent="0.25">
      <c r="AE1038033" s="36"/>
      <c r="AF1038033" s="36"/>
    </row>
    <row r="1038129" spans="31:32" x14ac:dyDescent="0.25">
      <c r="AE1038129" s="34"/>
      <c r="AF1038129" s="34"/>
    </row>
    <row r="1038137" spans="31:32" x14ac:dyDescent="0.25">
      <c r="AE1038137" s="36"/>
      <c r="AF1038137" s="36"/>
    </row>
    <row r="1038233" spans="31:32" x14ac:dyDescent="0.25">
      <c r="AE1038233" s="34"/>
      <c r="AF1038233" s="34"/>
    </row>
    <row r="1038241" spans="31:32" x14ac:dyDescent="0.25">
      <c r="AE1038241" s="36"/>
      <c r="AF1038241" s="36"/>
    </row>
    <row r="1038337" spans="31:32" x14ac:dyDescent="0.25">
      <c r="AE1038337" s="34"/>
      <c r="AF1038337" s="34"/>
    </row>
    <row r="1038345" spans="31:32" x14ac:dyDescent="0.25">
      <c r="AE1038345" s="36"/>
      <c r="AF1038345" s="36"/>
    </row>
    <row r="1038441" spans="31:32" x14ac:dyDescent="0.25">
      <c r="AE1038441" s="34"/>
      <c r="AF1038441" s="34"/>
    </row>
    <row r="1038449" spans="31:32" x14ac:dyDescent="0.25">
      <c r="AE1038449" s="36"/>
      <c r="AF1038449" s="36"/>
    </row>
    <row r="1038545" spans="31:32" x14ac:dyDescent="0.25">
      <c r="AE1038545" s="34"/>
      <c r="AF1038545" s="34"/>
    </row>
    <row r="1038553" spans="31:32" x14ac:dyDescent="0.25">
      <c r="AE1038553" s="36"/>
      <c r="AF1038553" s="36"/>
    </row>
    <row r="1038649" spans="31:32" x14ac:dyDescent="0.25">
      <c r="AE1038649" s="34"/>
      <c r="AF1038649" s="34"/>
    </row>
    <row r="1038657" spans="31:32" x14ac:dyDescent="0.25">
      <c r="AE1038657" s="36"/>
      <c r="AF1038657" s="36"/>
    </row>
    <row r="1038753" spans="31:32" x14ac:dyDescent="0.25">
      <c r="AE1038753" s="34"/>
      <c r="AF1038753" s="34"/>
    </row>
    <row r="1038761" spans="31:32" x14ac:dyDescent="0.25">
      <c r="AE1038761" s="36"/>
      <c r="AF1038761" s="36"/>
    </row>
    <row r="1038857" spans="31:32" x14ac:dyDescent="0.25">
      <c r="AE1038857" s="34"/>
      <c r="AF1038857" s="34"/>
    </row>
    <row r="1038865" spans="31:32" x14ac:dyDescent="0.25">
      <c r="AE1038865" s="36"/>
      <c r="AF1038865" s="36"/>
    </row>
    <row r="1038961" spans="31:32" x14ac:dyDescent="0.25">
      <c r="AE1038961" s="34"/>
      <c r="AF1038961" s="34"/>
    </row>
    <row r="1038969" spans="31:32" x14ac:dyDescent="0.25">
      <c r="AE1038969" s="36"/>
      <c r="AF1038969" s="36"/>
    </row>
    <row r="1039065" spans="31:32" x14ac:dyDescent="0.25">
      <c r="AE1039065" s="34"/>
      <c r="AF1039065" s="34"/>
    </row>
    <row r="1039073" spans="31:32" x14ac:dyDescent="0.25">
      <c r="AE1039073" s="36"/>
      <c r="AF1039073" s="36"/>
    </row>
    <row r="1039169" spans="31:32" x14ac:dyDescent="0.25">
      <c r="AE1039169" s="34"/>
      <c r="AF1039169" s="34"/>
    </row>
    <row r="1039177" spans="31:32" x14ac:dyDescent="0.25">
      <c r="AE1039177" s="36"/>
      <c r="AF1039177" s="36"/>
    </row>
    <row r="1039273" spans="31:32" x14ac:dyDescent="0.25">
      <c r="AE1039273" s="34"/>
      <c r="AF1039273" s="34"/>
    </row>
    <row r="1039281" spans="31:32" x14ac:dyDescent="0.25">
      <c r="AE1039281" s="36"/>
      <c r="AF1039281" s="36"/>
    </row>
    <row r="1039377" spans="31:32" x14ac:dyDescent="0.25">
      <c r="AE1039377" s="34"/>
      <c r="AF1039377" s="34"/>
    </row>
    <row r="1039385" spans="31:32" x14ac:dyDescent="0.25">
      <c r="AE1039385" s="36"/>
      <c r="AF1039385" s="36"/>
    </row>
    <row r="1039481" spans="31:32" x14ac:dyDescent="0.25">
      <c r="AE1039481" s="34"/>
      <c r="AF1039481" s="34"/>
    </row>
    <row r="1039489" spans="31:32" x14ac:dyDescent="0.25">
      <c r="AE1039489" s="36"/>
      <c r="AF1039489" s="36"/>
    </row>
    <row r="1039585" spans="31:32" x14ac:dyDescent="0.25">
      <c r="AE1039585" s="34"/>
      <c r="AF1039585" s="34"/>
    </row>
    <row r="1039593" spans="31:32" x14ac:dyDescent="0.25">
      <c r="AE1039593" s="36"/>
      <c r="AF1039593" s="36"/>
    </row>
    <row r="1039689" spans="31:32" x14ac:dyDescent="0.25">
      <c r="AE1039689" s="34"/>
      <c r="AF1039689" s="34"/>
    </row>
    <row r="1039697" spans="31:32" x14ac:dyDescent="0.25">
      <c r="AE1039697" s="36"/>
      <c r="AF1039697" s="36"/>
    </row>
    <row r="1039793" spans="31:32" x14ac:dyDescent="0.25">
      <c r="AE1039793" s="34"/>
      <c r="AF1039793" s="34"/>
    </row>
    <row r="1039801" spans="31:32" x14ac:dyDescent="0.25">
      <c r="AE1039801" s="36"/>
      <c r="AF1039801" s="36"/>
    </row>
    <row r="1039897" spans="31:32" x14ac:dyDescent="0.25">
      <c r="AE1039897" s="34"/>
      <c r="AF1039897" s="34"/>
    </row>
    <row r="1039905" spans="31:32" x14ac:dyDescent="0.25">
      <c r="AE1039905" s="36"/>
      <c r="AF1039905" s="36"/>
    </row>
    <row r="1040001" spans="31:32" x14ac:dyDescent="0.25">
      <c r="AE1040001" s="34"/>
      <c r="AF1040001" s="34"/>
    </row>
    <row r="1040009" spans="31:32" x14ac:dyDescent="0.25">
      <c r="AE1040009" s="36"/>
      <c r="AF1040009" s="36"/>
    </row>
    <row r="1040105" spans="31:32" x14ac:dyDescent="0.25">
      <c r="AE1040105" s="34"/>
      <c r="AF1040105" s="34"/>
    </row>
    <row r="1040113" spans="31:32" x14ac:dyDescent="0.25">
      <c r="AE1040113" s="36"/>
      <c r="AF1040113" s="36"/>
    </row>
    <row r="1040209" spans="31:32" x14ac:dyDescent="0.25">
      <c r="AE1040209" s="34"/>
      <c r="AF1040209" s="34"/>
    </row>
    <row r="1040217" spans="31:32" x14ac:dyDescent="0.25">
      <c r="AE1040217" s="36"/>
      <c r="AF1040217" s="36"/>
    </row>
    <row r="1040313" spans="31:32" x14ac:dyDescent="0.25">
      <c r="AE1040313" s="34"/>
      <c r="AF1040313" s="34"/>
    </row>
    <row r="1040321" spans="31:32" x14ac:dyDescent="0.25">
      <c r="AE1040321" s="36"/>
      <c r="AF1040321" s="36"/>
    </row>
    <row r="1040417" spans="31:32" x14ac:dyDescent="0.25">
      <c r="AE1040417" s="34"/>
      <c r="AF1040417" s="34"/>
    </row>
    <row r="1040425" spans="31:32" x14ac:dyDescent="0.25">
      <c r="AE1040425" s="36"/>
      <c r="AF1040425" s="36"/>
    </row>
    <row r="1040521" spans="31:32" x14ac:dyDescent="0.25">
      <c r="AE1040521" s="34"/>
      <c r="AF1040521" s="34"/>
    </row>
    <row r="1040529" spans="31:32" x14ac:dyDescent="0.25">
      <c r="AE1040529" s="36"/>
      <c r="AF1040529" s="36"/>
    </row>
    <row r="1040625" spans="31:32" x14ac:dyDescent="0.25">
      <c r="AE1040625" s="34"/>
      <c r="AF1040625" s="34"/>
    </row>
    <row r="1040633" spans="31:32" x14ac:dyDescent="0.25">
      <c r="AE1040633" s="36"/>
      <c r="AF1040633" s="36"/>
    </row>
    <row r="1040729" spans="31:32" x14ac:dyDescent="0.25">
      <c r="AE1040729" s="34"/>
      <c r="AF1040729" s="34"/>
    </row>
    <row r="1040737" spans="31:32" x14ac:dyDescent="0.25">
      <c r="AE1040737" s="36"/>
      <c r="AF1040737" s="36"/>
    </row>
    <row r="1040833" spans="31:32" x14ac:dyDescent="0.25">
      <c r="AE1040833" s="34"/>
      <c r="AF1040833" s="34"/>
    </row>
    <row r="1040841" spans="31:32" x14ac:dyDescent="0.25">
      <c r="AE1040841" s="36"/>
      <c r="AF1040841" s="36"/>
    </row>
    <row r="1040937" spans="31:32" x14ac:dyDescent="0.25">
      <c r="AE1040937" s="34"/>
      <c r="AF1040937" s="34"/>
    </row>
    <row r="1040945" spans="31:32" x14ac:dyDescent="0.25">
      <c r="AE1040945" s="36"/>
      <c r="AF1040945" s="36"/>
    </row>
    <row r="1041041" spans="31:32" x14ac:dyDescent="0.25">
      <c r="AE1041041" s="34"/>
      <c r="AF1041041" s="34"/>
    </row>
    <row r="1041049" spans="31:32" x14ac:dyDescent="0.25">
      <c r="AE1041049" s="36"/>
      <c r="AF1041049" s="36"/>
    </row>
    <row r="1041145" spans="31:32" x14ac:dyDescent="0.25">
      <c r="AE1041145" s="34"/>
      <c r="AF1041145" s="34"/>
    </row>
    <row r="1041153" spans="31:32" x14ac:dyDescent="0.25">
      <c r="AE1041153" s="36"/>
      <c r="AF1041153" s="36"/>
    </row>
    <row r="1041249" spans="31:32" x14ac:dyDescent="0.25">
      <c r="AE1041249" s="34"/>
      <c r="AF1041249" s="34"/>
    </row>
    <row r="1041257" spans="31:32" x14ac:dyDescent="0.25">
      <c r="AE1041257" s="36"/>
      <c r="AF1041257" s="36"/>
    </row>
    <row r="1041353" spans="31:32" x14ac:dyDescent="0.25">
      <c r="AE1041353" s="34"/>
      <c r="AF1041353" s="34"/>
    </row>
    <row r="1041361" spans="31:32" x14ac:dyDescent="0.25">
      <c r="AE1041361" s="36"/>
      <c r="AF1041361" s="36"/>
    </row>
    <row r="1041457" spans="31:32" x14ac:dyDescent="0.25">
      <c r="AE1041457" s="34"/>
      <c r="AF1041457" s="34"/>
    </row>
    <row r="1041465" spans="31:32" x14ac:dyDescent="0.25">
      <c r="AE1041465" s="36"/>
      <c r="AF1041465" s="36"/>
    </row>
    <row r="1041561" spans="31:32" x14ac:dyDescent="0.25">
      <c r="AE1041561" s="34"/>
      <c r="AF1041561" s="34"/>
    </row>
    <row r="1041569" spans="31:32" x14ac:dyDescent="0.25">
      <c r="AE1041569" s="36"/>
      <c r="AF1041569" s="36"/>
    </row>
    <row r="1041665" spans="31:32" x14ac:dyDescent="0.25">
      <c r="AE1041665" s="34"/>
      <c r="AF1041665" s="34"/>
    </row>
    <row r="1041673" spans="31:32" x14ac:dyDescent="0.25">
      <c r="AE1041673" s="36"/>
      <c r="AF1041673" s="36"/>
    </row>
    <row r="1041769" spans="31:32" x14ac:dyDescent="0.25">
      <c r="AE1041769" s="34"/>
      <c r="AF1041769" s="34"/>
    </row>
    <row r="1041777" spans="31:32" x14ac:dyDescent="0.25">
      <c r="AE1041777" s="36"/>
      <c r="AF1041777" s="36"/>
    </row>
    <row r="1041873" spans="31:32" x14ac:dyDescent="0.25">
      <c r="AE1041873" s="34"/>
      <c r="AF1041873" s="34"/>
    </row>
    <row r="1041881" spans="31:32" x14ac:dyDescent="0.25">
      <c r="AE1041881" s="36"/>
      <c r="AF1041881" s="36"/>
    </row>
    <row r="1041977" spans="31:32" x14ac:dyDescent="0.25">
      <c r="AE1041977" s="34"/>
      <c r="AF1041977" s="34"/>
    </row>
    <row r="1041985" spans="31:32" x14ac:dyDescent="0.25">
      <c r="AE1041985" s="36"/>
      <c r="AF1041985" s="36"/>
    </row>
    <row r="1042081" spans="31:32" x14ac:dyDescent="0.25">
      <c r="AE1042081" s="34"/>
      <c r="AF1042081" s="34"/>
    </row>
    <row r="1042089" spans="31:32" x14ac:dyDescent="0.25">
      <c r="AE1042089" s="36"/>
      <c r="AF1042089" s="36"/>
    </row>
    <row r="1042185" spans="31:32" x14ac:dyDescent="0.25">
      <c r="AE1042185" s="34"/>
      <c r="AF1042185" s="34"/>
    </row>
    <row r="1042193" spans="31:32" x14ac:dyDescent="0.25">
      <c r="AE1042193" s="36"/>
      <c r="AF1042193" s="36"/>
    </row>
    <row r="1042289" spans="31:32" x14ac:dyDescent="0.25">
      <c r="AE1042289" s="34"/>
      <c r="AF1042289" s="34"/>
    </row>
    <row r="1042297" spans="31:32" x14ac:dyDescent="0.25">
      <c r="AE1042297" s="36"/>
      <c r="AF1042297" s="36"/>
    </row>
    <row r="1042393" spans="31:32" x14ac:dyDescent="0.25">
      <c r="AE1042393" s="34"/>
      <c r="AF1042393" s="34"/>
    </row>
    <row r="1042401" spans="31:32" x14ac:dyDescent="0.25">
      <c r="AE1042401" s="36"/>
      <c r="AF1042401" s="36"/>
    </row>
    <row r="1042497" spans="31:32" x14ac:dyDescent="0.25">
      <c r="AE1042497" s="34"/>
      <c r="AF1042497" s="34"/>
    </row>
    <row r="1042505" spans="31:32" x14ac:dyDescent="0.25">
      <c r="AE1042505" s="36"/>
      <c r="AF1042505" s="36"/>
    </row>
    <row r="1042601" spans="31:32" x14ac:dyDescent="0.25">
      <c r="AE1042601" s="34"/>
      <c r="AF1042601" s="34"/>
    </row>
    <row r="1042609" spans="31:32" x14ac:dyDescent="0.25">
      <c r="AE1042609" s="36"/>
      <c r="AF1042609" s="36"/>
    </row>
    <row r="1042705" spans="31:32" x14ac:dyDescent="0.25">
      <c r="AE1042705" s="34"/>
      <c r="AF1042705" s="34"/>
    </row>
    <row r="1042713" spans="31:32" x14ac:dyDescent="0.25">
      <c r="AE1042713" s="36"/>
      <c r="AF1042713" s="36"/>
    </row>
    <row r="1042809" spans="31:32" x14ac:dyDescent="0.25">
      <c r="AE1042809" s="34"/>
      <c r="AF1042809" s="34"/>
    </row>
    <row r="1042817" spans="31:32" x14ac:dyDescent="0.25">
      <c r="AE1042817" s="36"/>
      <c r="AF1042817" s="36"/>
    </row>
    <row r="1042913" spans="31:32" x14ac:dyDescent="0.25">
      <c r="AE1042913" s="34"/>
      <c r="AF1042913" s="34"/>
    </row>
    <row r="1042921" spans="31:32" x14ac:dyDescent="0.25">
      <c r="AE1042921" s="36"/>
      <c r="AF1042921" s="36"/>
    </row>
    <row r="1043017" spans="31:32" x14ac:dyDescent="0.25">
      <c r="AE1043017" s="34"/>
      <c r="AF1043017" s="34"/>
    </row>
    <row r="1043025" spans="31:32" x14ac:dyDescent="0.25">
      <c r="AE1043025" s="36"/>
      <c r="AF1043025" s="36"/>
    </row>
    <row r="1043121" spans="31:32" x14ac:dyDescent="0.25">
      <c r="AE1043121" s="34"/>
      <c r="AF1043121" s="34"/>
    </row>
    <row r="1043129" spans="31:32" x14ac:dyDescent="0.25">
      <c r="AE1043129" s="36"/>
      <c r="AF1043129" s="36"/>
    </row>
    <row r="1043225" spans="31:32" x14ac:dyDescent="0.25">
      <c r="AE1043225" s="34"/>
      <c r="AF1043225" s="34"/>
    </row>
    <row r="1043233" spans="31:32" x14ac:dyDescent="0.25">
      <c r="AE1043233" s="36"/>
      <c r="AF1043233" s="36"/>
    </row>
    <row r="1043329" spans="31:32" x14ac:dyDescent="0.25">
      <c r="AE1043329" s="34"/>
      <c r="AF1043329" s="34"/>
    </row>
    <row r="1043337" spans="31:32" x14ac:dyDescent="0.25">
      <c r="AE1043337" s="36"/>
      <c r="AF1043337" s="36"/>
    </row>
    <row r="1043433" spans="31:32" x14ac:dyDescent="0.25">
      <c r="AE1043433" s="34"/>
      <c r="AF1043433" s="34"/>
    </row>
    <row r="1043441" spans="31:32" x14ac:dyDescent="0.25">
      <c r="AE1043441" s="36"/>
      <c r="AF1043441" s="36"/>
    </row>
    <row r="1043537" spans="31:32" x14ac:dyDescent="0.25">
      <c r="AE1043537" s="34"/>
      <c r="AF1043537" s="34"/>
    </row>
    <row r="1043545" spans="31:32" x14ac:dyDescent="0.25">
      <c r="AE1043545" s="36"/>
      <c r="AF1043545" s="36"/>
    </row>
    <row r="1043641" spans="31:32" x14ac:dyDescent="0.25">
      <c r="AE1043641" s="34"/>
      <c r="AF1043641" s="34"/>
    </row>
    <row r="1043649" spans="31:32" x14ac:dyDescent="0.25">
      <c r="AE1043649" s="36"/>
      <c r="AF1043649" s="36"/>
    </row>
    <row r="1043745" spans="31:32" x14ac:dyDescent="0.25">
      <c r="AE1043745" s="34"/>
      <c r="AF1043745" s="34"/>
    </row>
    <row r="1043753" spans="31:32" x14ac:dyDescent="0.25">
      <c r="AE1043753" s="36"/>
      <c r="AF1043753" s="36"/>
    </row>
    <row r="1043849" spans="31:32" x14ac:dyDescent="0.25">
      <c r="AE1043849" s="34"/>
      <c r="AF1043849" s="34"/>
    </row>
    <row r="1043857" spans="31:32" x14ac:dyDescent="0.25">
      <c r="AE1043857" s="36"/>
      <c r="AF1043857" s="36"/>
    </row>
    <row r="1043953" spans="31:32" x14ac:dyDescent="0.25">
      <c r="AE1043953" s="34"/>
      <c r="AF1043953" s="34"/>
    </row>
    <row r="1043961" spans="31:32" x14ac:dyDescent="0.25">
      <c r="AE1043961" s="36"/>
      <c r="AF1043961" s="36"/>
    </row>
    <row r="1044057" spans="31:32" x14ac:dyDescent="0.25">
      <c r="AE1044057" s="34"/>
      <c r="AF1044057" s="34"/>
    </row>
    <row r="1044065" spans="31:32" x14ac:dyDescent="0.25">
      <c r="AE1044065" s="36"/>
      <c r="AF1044065" s="36"/>
    </row>
    <row r="1044161" spans="31:32" x14ac:dyDescent="0.25">
      <c r="AE1044161" s="34"/>
      <c r="AF1044161" s="34"/>
    </row>
    <row r="1044169" spans="31:32" x14ac:dyDescent="0.25">
      <c r="AE1044169" s="36"/>
      <c r="AF1044169" s="36"/>
    </row>
    <row r="1044265" spans="31:32" x14ac:dyDescent="0.25">
      <c r="AE1044265" s="34"/>
      <c r="AF1044265" s="34"/>
    </row>
    <row r="1044273" spans="31:32" x14ac:dyDescent="0.25">
      <c r="AE1044273" s="36"/>
      <c r="AF1044273" s="36"/>
    </row>
    <row r="1044369" spans="31:32" x14ac:dyDescent="0.25">
      <c r="AE1044369" s="34"/>
      <c r="AF1044369" s="34"/>
    </row>
    <row r="1044377" spans="31:32" x14ac:dyDescent="0.25">
      <c r="AE1044377" s="36"/>
      <c r="AF1044377" s="36"/>
    </row>
    <row r="1044473" spans="31:32" x14ac:dyDescent="0.25">
      <c r="AE1044473" s="34"/>
      <c r="AF1044473" s="34"/>
    </row>
    <row r="1044481" spans="31:32" x14ac:dyDescent="0.25">
      <c r="AE1044481" s="36"/>
      <c r="AF1044481" s="36"/>
    </row>
    <row r="1044577" spans="31:32" x14ac:dyDescent="0.25">
      <c r="AE1044577" s="34"/>
      <c r="AF1044577" s="34"/>
    </row>
    <row r="1044585" spans="31:32" x14ac:dyDescent="0.25">
      <c r="AE1044585" s="36"/>
      <c r="AF1044585" s="36"/>
    </row>
    <row r="1044681" spans="31:32" x14ac:dyDescent="0.25">
      <c r="AE1044681" s="34"/>
      <c r="AF1044681" s="34"/>
    </row>
    <row r="1044689" spans="31:32" x14ac:dyDescent="0.25">
      <c r="AE1044689" s="36"/>
      <c r="AF1044689" s="36"/>
    </row>
    <row r="1044785" spans="31:32" x14ac:dyDescent="0.25">
      <c r="AE1044785" s="34"/>
      <c r="AF1044785" s="34"/>
    </row>
    <row r="1044793" spans="31:32" x14ac:dyDescent="0.25">
      <c r="AE1044793" s="36"/>
      <c r="AF1044793" s="36"/>
    </row>
    <row r="1044889" spans="31:32" x14ac:dyDescent="0.25">
      <c r="AE1044889" s="34"/>
      <c r="AF1044889" s="34"/>
    </row>
    <row r="1044897" spans="31:32" x14ac:dyDescent="0.25">
      <c r="AE1044897" s="36"/>
      <c r="AF1044897" s="36"/>
    </row>
    <row r="1044993" spans="31:32" x14ac:dyDescent="0.25">
      <c r="AE1044993" s="34"/>
      <c r="AF1044993" s="34"/>
    </row>
    <row r="1045001" spans="31:32" x14ac:dyDescent="0.25">
      <c r="AE1045001" s="36"/>
      <c r="AF1045001" s="36"/>
    </row>
    <row r="1045097" spans="31:32" x14ac:dyDescent="0.25">
      <c r="AE1045097" s="34"/>
      <c r="AF1045097" s="34"/>
    </row>
    <row r="1045105" spans="31:32" x14ac:dyDescent="0.25">
      <c r="AE1045105" s="36"/>
      <c r="AF1045105" s="36"/>
    </row>
    <row r="1045201" spans="31:32" x14ac:dyDescent="0.25">
      <c r="AE1045201" s="34"/>
      <c r="AF1045201" s="34"/>
    </row>
    <row r="1045209" spans="31:32" x14ac:dyDescent="0.25">
      <c r="AE1045209" s="36"/>
      <c r="AF1045209" s="36"/>
    </row>
    <row r="1045305" spans="31:32" x14ac:dyDescent="0.25">
      <c r="AE1045305" s="34"/>
      <c r="AF1045305" s="34"/>
    </row>
    <row r="1045313" spans="31:32" x14ac:dyDescent="0.25">
      <c r="AE1045313" s="36"/>
      <c r="AF1045313" s="36"/>
    </row>
    <row r="1045409" spans="31:32" x14ac:dyDescent="0.25">
      <c r="AE1045409" s="34"/>
      <c r="AF1045409" s="34"/>
    </row>
    <row r="1045417" spans="31:32" x14ac:dyDescent="0.25">
      <c r="AE1045417" s="36"/>
      <c r="AF1045417" s="36"/>
    </row>
    <row r="1045513" spans="31:32" x14ac:dyDescent="0.25">
      <c r="AE1045513" s="34"/>
      <c r="AF1045513" s="34"/>
    </row>
    <row r="1045521" spans="31:32" x14ac:dyDescent="0.25">
      <c r="AE1045521" s="36"/>
      <c r="AF1045521" s="36"/>
    </row>
    <row r="1045617" spans="31:32" x14ac:dyDescent="0.25">
      <c r="AE1045617" s="34"/>
      <c r="AF1045617" s="34"/>
    </row>
    <row r="1045625" spans="31:32" x14ac:dyDescent="0.25">
      <c r="AE1045625" s="36"/>
      <c r="AF1045625" s="36"/>
    </row>
    <row r="1045721" spans="31:32" x14ac:dyDescent="0.25">
      <c r="AE1045721" s="34"/>
      <c r="AF1045721" s="34"/>
    </row>
    <row r="1045729" spans="31:32" x14ac:dyDescent="0.25">
      <c r="AE1045729" s="36"/>
      <c r="AF1045729" s="36"/>
    </row>
    <row r="1045825" spans="31:32" x14ac:dyDescent="0.25">
      <c r="AE1045825" s="34"/>
      <c r="AF1045825" s="34"/>
    </row>
    <row r="1045833" spans="31:32" x14ac:dyDescent="0.25">
      <c r="AE1045833" s="36"/>
      <c r="AF1045833" s="36"/>
    </row>
    <row r="1045929" spans="31:32" x14ac:dyDescent="0.25">
      <c r="AE1045929" s="34"/>
      <c r="AF1045929" s="34"/>
    </row>
    <row r="1045937" spans="31:32" x14ac:dyDescent="0.25">
      <c r="AE1045937" s="36"/>
      <c r="AF1045937" s="36"/>
    </row>
    <row r="1046033" spans="31:32" x14ac:dyDescent="0.25">
      <c r="AE1046033" s="34"/>
      <c r="AF1046033" s="34"/>
    </row>
    <row r="1046041" spans="31:32" x14ac:dyDescent="0.25">
      <c r="AE1046041" s="36"/>
      <c r="AF1046041" s="36"/>
    </row>
    <row r="1046137" spans="31:32" x14ac:dyDescent="0.25">
      <c r="AE1046137" s="34"/>
      <c r="AF1046137" s="34"/>
    </row>
    <row r="1046145" spans="31:32" x14ac:dyDescent="0.25">
      <c r="AE1046145" s="36"/>
      <c r="AF1046145" s="36"/>
    </row>
    <row r="1046241" spans="31:32" x14ac:dyDescent="0.25">
      <c r="AE1046241" s="34"/>
      <c r="AF1046241" s="34"/>
    </row>
    <row r="1046249" spans="31:32" x14ac:dyDescent="0.25">
      <c r="AE1046249" s="36"/>
      <c r="AF1046249" s="36"/>
    </row>
    <row r="1046345" spans="31:32" x14ac:dyDescent="0.25">
      <c r="AE1046345" s="34"/>
      <c r="AF1046345" s="34"/>
    </row>
    <row r="1046353" spans="31:32" x14ac:dyDescent="0.25">
      <c r="AE1046353" s="36"/>
      <c r="AF1046353" s="36"/>
    </row>
    <row r="1046449" spans="31:32" x14ac:dyDescent="0.25">
      <c r="AE1046449" s="34"/>
      <c r="AF1046449" s="34"/>
    </row>
    <row r="1046457" spans="31:32" x14ac:dyDescent="0.25">
      <c r="AE1046457" s="36"/>
      <c r="AF1046457" s="36"/>
    </row>
    <row r="1046553" spans="31:32" x14ac:dyDescent="0.25">
      <c r="AE1046553" s="34"/>
      <c r="AF1046553" s="34"/>
    </row>
    <row r="1046561" spans="31:32" x14ac:dyDescent="0.25">
      <c r="AE1046561" s="36"/>
      <c r="AF1046561" s="36"/>
    </row>
    <row r="1046657" spans="31:32" x14ac:dyDescent="0.25">
      <c r="AE1046657" s="34"/>
      <c r="AF1046657" s="34"/>
    </row>
    <row r="1046665" spans="31:32" x14ac:dyDescent="0.25">
      <c r="AE1046665" s="36"/>
      <c r="AF1046665" s="36"/>
    </row>
    <row r="1046761" spans="31:32" x14ac:dyDescent="0.25">
      <c r="AE1046761" s="34"/>
      <c r="AF1046761" s="34"/>
    </row>
    <row r="1046769" spans="31:32" x14ac:dyDescent="0.25">
      <c r="AE1046769" s="36"/>
      <c r="AF1046769" s="36"/>
    </row>
    <row r="1046865" spans="31:32" x14ac:dyDescent="0.25">
      <c r="AE1046865" s="34"/>
      <c r="AF1046865" s="34"/>
    </row>
    <row r="1046873" spans="31:32" x14ac:dyDescent="0.25">
      <c r="AE1046873" s="36"/>
      <c r="AF1046873" s="36"/>
    </row>
    <row r="1046969" spans="31:32" x14ac:dyDescent="0.25">
      <c r="AE1046969" s="34"/>
      <c r="AF1046969" s="34"/>
    </row>
    <row r="1046977" spans="31:32" x14ac:dyDescent="0.25">
      <c r="AE1046977" s="36"/>
      <c r="AF1046977" s="36"/>
    </row>
    <row r="1047073" spans="31:32" x14ac:dyDescent="0.25">
      <c r="AE1047073" s="34"/>
      <c r="AF1047073" s="34"/>
    </row>
    <row r="1047081" spans="31:32" x14ac:dyDescent="0.25">
      <c r="AE1047081" s="36"/>
      <c r="AF1047081" s="36"/>
    </row>
    <row r="1047177" spans="31:32" x14ac:dyDescent="0.25">
      <c r="AE1047177" s="34"/>
      <c r="AF1047177" s="34"/>
    </row>
    <row r="1047185" spans="31:32" x14ac:dyDescent="0.25">
      <c r="AE1047185" s="36"/>
      <c r="AF1047185" s="36"/>
    </row>
    <row r="1047281" spans="31:32" x14ac:dyDescent="0.25">
      <c r="AE1047281" s="34"/>
      <c r="AF1047281" s="34"/>
    </row>
    <row r="1047289" spans="31:32" x14ac:dyDescent="0.25">
      <c r="AE1047289" s="36"/>
      <c r="AF1047289" s="36"/>
    </row>
    <row r="1047385" spans="31:32" x14ac:dyDescent="0.25">
      <c r="AE1047385" s="34"/>
      <c r="AF1047385" s="34"/>
    </row>
    <row r="1047393" spans="31:32" x14ac:dyDescent="0.25">
      <c r="AE1047393" s="36"/>
      <c r="AF1047393" s="36"/>
    </row>
    <row r="1047489" spans="31:32" x14ac:dyDescent="0.25">
      <c r="AE1047489" s="34"/>
      <c r="AF1047489" s="34"/>
    </row>
    <row r="1047497" spans="31:32" x14ac:dyDescent="0.25">
      <c r="AE1047497" s="36"/>
      <c r="AF1047497" s="36"/>
    </row>
    <row r="1047593" spans="31:32" x14ac:dyDescent="0.25">
      <c r="AE1047593" s="34"/>
      <c r="AF1047593" s="34"/>
    </row>
    <row r="1047601" spans="31:32" x14ac:dyDescent="0.25">
      <c r="AE1047601" s="36"/>
      <c r="AF1047601" s="36"/>
    </row>
    <row r="1047697" spans="31:32" x14ac:dyDescent="0.25">
      <c r="AE1047697" s="34"/>
      <c r="AF1047697" s="34"/>
    </row>
    <row r="1047705" spans="31:32" x14ac:dyDescent="0.25">
      <c r="AE1047705" s="36"/>
      <c r="AF1047705" s="36"/>
    </row>
    <row r="1047801" spans="31:32" x14ac:dyDescent="0.25">
      <c r="AE1047801" s="34"/>
      <c r="AF1047801" s="34"/>
    </row>
    <row r="1047809" spans="31:32" x14ac:dyDescent="0.25">
      <c r="AE1047809" s="36"/>
      <c r="AF1047809" s="36"/>
    </row>
    <row r="1047905" spans="31:32" x14ac:dyDescent="0.25">
      <c r="AE1047905" s="34"/>
      <c r="AF1047905" s="34"/>
    </row>
    <row r="1047913" spans="31:32" x14ac:dyDescent="0.25">
      <c r="AE1047913" s="36"/>
      <c r="AF1047913" s="36"/>
    </row>
    <row r="1048009" spans="31:32" x14ac:dyDescent="0.25">
      <c r="AE1048009" s="34"/>
      <c r="AF1048009" s="34"/>
    </row>
    <row r="1048017" spans="31:32" x14ac:dyDescent="0.25">
      <c r="AE1048017" s="36"/>
      <c r="AF1048017" s="36"/>
    </row>
    <row r="1048113" spans="31:32" x14ac:dyDescent="0.25">
      <c r="AE1048113" s="34"/>
      <c r="AF1048113" s="34"/>
    </row>
    <row r="1048121" spans="31:32" x14ac:dyDescent="0.25">
      <c r="AE1048121" s="36"/>
      <c r="AF1048121" s="36"/>
    </row>
    <row r="1048217" spans="31:32" x14ac:dyDescent="0.25">
      <c r="AE1048217" s="34"/>
      <c r="AF1048217" s="34"/>
    </row>
    <row r="1048225" spans="31:32" x14ac:dyDescent="0.25">
      <c r="AE1048225" s="36"/>
      <c r="AF1048225" s="36"/>
    </row>
    <row r="1048321" spans="31:32" x14ac:dyDescent="0.25">
      <c r="AE1048321" s="34"/>
      <c r="AF1048321" s="34"/>
    </row>
    <row r="1048329" spans="31:32" x14ac:dyDescent="0.25">
      <c r="AE1048329" s="36"/>
      <c r="AF1048329" s="36"/>
    </row>
    <row r="1048425" spans="31:32" x14ac:dyDescent="0.25">
      <c r="AE1048425" s="34"/>
      <c r="AF1048425" s="34"/>
    </row>
    <row r="1048433" spans="31:32" x14ac:dyDescent="0.25">
      <c r="AE1048433" s="36"/>
      <c r="AF1048433" s="36"/>
    </row>
    <row r="1048529" spans="31:32" x14ac:dyDescent="0.25">
      <c r="AE1048529" s="34"/>
      <c r="AF1048529" s="34"/>
    </row>
    <row r="1048537" spans="31:32" x14ac:dyDescent="0.25">
      <c r="AE1048537" s="36"/>
      <c r="AF1048537" s="36"/>
    </row>
  </sheetData>
  <sheetProtection algorithmName="SHA-512" hashValue="qsUciawLgeAbixNgcoHscYb7yxZ+xo44nUW+cKfSiF/rCixinGmxuVgIbpFc7N/VK0g2lw0/rDwwSbuBoaGEug==" saltValue="sqooTBdfUg0nT+Ub1ZmBTA==" spinCount="100000" sheet="1" formatCells="0" formatColumns="0" formatRows="0" insertColumns="0" insertRows="0" insertHyperlinks="0" deleteColumns="0" deleteRows="0" sort="0" autoFilter="0" pivotTables="0"/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Titre</vt:lpstr>
      <vt:lpstr>Tableaux de bord</vt:lpstr>
      <vt:lpstr>DonnéesDEF</vt:lpstr>
      <vt:lpstr>Titre!Print_Area</vt:lpstr>
      <vt:lpstr>'Tableaux de bord'!Zone_d_impression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Lablanche</dc:creator>
  <cp:keywords/>
  <dc:description/>
  <cp:lastModifiedBy>Eugenie Colasse</cp:lastModifiedBy>
  <cp:revision/>
  <cp:lastPrinted>2022-02-08T12:04:07Z</cp:lastPrinted>
  <dcterms:created xsi:type="dcterms:W3CDTF">2021-05-15T06:06:16Z</dcterms:created>
  <dcterms:modified xsi:type="dcterms:W3CDTF">2022-02-10T14:33:59Z</dcterms:modified>
  <cp:category/>
  <cp:contentStatus/>
</cp:coreProperties>
</file>